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workbookProtection lockStructure="1"/>
  <bookViews>
    <workbookView xWindow="0" yWindow="0" windowWidth="29640" windowHeight="17880" tabRatio="919" activeTab="21"/>
  </bookViews>
  <sheets>
    <sheet name="ReadMe" sheetId="1" r:id="rId1"/>
    <sheet name="a-1d" sheetId="2" r:id="rId2"/>
    <sheet name="a-2d" sheetId="3" r:id="rId3"/>
    <sheet name="a-3d" sheetId="4" r:id="rId4"/>
    <sheet name="a-4d" sheetId="5" r:id="rId5"/>
    <sheet name="a-5d" sheetId="6" r:id="rId6"/>
    <sheet name="a-6" sheetId="7" r:id="rId7"/>
    <sheet name="a-7" sheetId="8" r:id="rId8"/>
    <sheet name="a-8" sheetId="9" r:id="rId9"/>
    <sheet name="a-9" sheetId="10" r:id="rId10"/>
    <sheet name="a-10" sheetId="11" r:id="rId11"/>
    <sheet name="a-11" sheetId="12" r:id="rId12"/>
    <sheet name="a-12" sheetId="13" r:id="rId13"/>
    <sheet name="b-1d" sheetId="14" r:id="rId14"/>
    <sheet name="b-2d" sheetId="15" r:id="rId15"/>
    <sheet name="b-3d" sheetId="16" r:id="rId16"/>
    <sheet name="b-4d" sheetId="17" r:id="rId17"/>
    <sheet name="b-5d" sheetId="18" r:id="rId18"/>
    <sheet name="b-6d" sheetId="19" r:id="rId19"/>
    <sheet name="b-7d" sheetId="20" r:id="rId20"/>
    <sheet name="b-8d" sheetId="21" r:id="rId21"/>
    <sheet name="b-9d" sheetId="22" r:id="rId22"/>
    <sheet name="C11" sheetId="23" r:id="rId23"/>
    <sheet name="C12" sheetId="24" r:id="rId24"/>
    <sheet name="C13" sheetId="25" r:id="rId25"/>
    <sheet name="C2" sheetId="26" r:id="rId26"/>
    <sheet name="D.1." sheetId="27" r:id="rId27"/>
    <sheet name="Legend to D.1" sheetId="28" r:id="rId28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3" l="1"/>
  <c r="F33" i="13"/>
  <c r="G33" i="13"/>
  <c r="H33" i="13"/>
  <c r="I33" i="13"/>
  <c r="J33" i="13"/>
  <c r="K33" i="13"/>
  <c r="L33" i="13"/>
  <c r="M33" i="13"/>
  <c r="N33" i="13"/>
  <c r="O33" i="13"/>
  <c r="D33" i="13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10" i="26"/>
  <c r="R11" i="26"/>
  <c r="R12" i="26"/>
  <c r="R13" i="26"/>
  <c r="R9" i="26"/>
  <c r="D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D13" i="27"/>
  <c r="E13" i="27"/>
  <c r="F13" i="27"/>
  <c r="G13" i="27"/>
  <c r="H13" i="27"/>
  <c r="I13" i="27"/>
  <c r="J13" i="27"/>
  <c r="K13" i="27"/>
  <c r="L13" i="27"/>
  <c r="M13" i="27"/>
  <c r="N13" i="27"/>
  <c r="O13" i="27"/>
  <c r="D17" i="27"/>
  <c r="E17" i="27"/>
  <c r="F17" i="27"/>
  <c r="G17" i="27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V17" i="27"/>
  <c r="W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W18" i="27"/>
  <c r="D19" i="27"/>
  <c r="E19" i="27"/>
  <c r="F19" i="27"/>
  <c r="G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D22" i="27"/>
  <c r="E22" i="27"/>
  <c r="F22" i="27"/>
  <c r="G22" i="27"/>
  <c r="H22" i="27"/>
  <c r="I22" i="27"/>
  <c r="J22" i="27"/>
  <c r="K22" i="27"/>
  <c r="L22" i="27"/>
  <c r="M22" i="27"/>
  <c r="N22" i="27"/>
  <c r="O22" i="27"/>
  <c r="P22" i="27"/>
  <c r="Q22" i="27"/>
  <c r="R22" i="27"/>
  <c r="S22" i="27"/>
  <c r="T22" i="27"/>
  <c r="U22" i="27"/>
  <c r="V22" i="27"/>
  <c r="W22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D26" i="27"/>
  <c r="E26" i="27"/>
  <c r="F26" i="27"/>
  <c r="G26" i="27"/>
  <c r="H26" i="27"/>
  <c r="I26" i="27"/>
  <c r="J26" i="27"/>
  <c r="K26" i="27"/>
  <c r="L26" i="27"/>
  <c r="M26" i="27"/>
  <c r="N26" i="27"/>
  <c r="O26" i="27"/>
  <c r="P26" i="27"/>
  <c r="Q26" i="27"/>
  <c r="R26" i="27"/>
  <c r="S26" i="27"/>
  <c r="T26" i="27"/>
  <c r="U26" i="27"/>
  <c r="V26" i="27"/>
  <c r="W26" i="27"/>
  <c r="D27" i="27"/>
  <c r="E27" i="27"/>
  <c r="F27" i="27"/>
  <c r="G27" i="27"/>
  <c r="H27" i="27"/>
  <c r="I27" i="27"/>
  <c r="J27" i="27"/>
  <c r="K27" i="27"/>
  <c r="L27" i="27"/>
  <c r="M27" i="27"/>
  <c r="N27" i="27"/>
  <c r="O27" i="27"/>
  <c r="P27" i="27"/>
  <c r="Q27" i="27"/>
  <c r="R27" i="27"/>
  <c r="S27" i="27"/>
  <c r="T27" i="27"/>
  <c r="U27" i="27"/>
  <c r="V27" i="27"/>
  <c r="W27" i="27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D20" i="7"/>
  <c r="F23" i="7"/>
  <c r="G23" i="7"/>
  <c r="K20" i="7"/>
  <c r="M23" i="7"/>
  <c r="N23" i="7"/>
  <c r="AA23" i="7"/>
  <c r="AK23" i="7"/>
  <c r="AS20" i="7"/>
  <c r="AT20" i="7"/>
  <c r="AU23" i="7"/>
  <c r="AV23" i="7"/>
  <c r="AY23" i="7"/>
  <c r="D24" i="7"/>
  <c r="F24" i="7"/>
  <c r="G24" i="7"/>
  <c r="K24" i="7"/>
  <c r="M24" i="7"/>
  <c r="N24" i="7"/>
  <c r="AA24" i="7"/>
  <c r="AG24" i="7"/>
  <c r="AJ24" i="7"/>
  <c r="AK24" i="7"/>
  <c r="AS24" i="7"/>
  <c r="AU24" i="7"/>
  <c r="AV24" i="7"/>
  <c r="AY24" i="7"/>
  <c r="F25" i="7"/>
  <c r="G25" i="7"/>
  <c r="M25" i="7"/>
  <c r="N25" i="7"/>
  <c r="AA25" i="7"/>
  <c r="AJ25" i="7"/>
  <c r="AK25" i="7"/>
  <c r="AU25" i="7"/>
  <c r="AV25" i="7"/>
  <c r="AY25" i="7"/>
  <c r="F26" i="7"/>
  <c r="G26" i="7"/>
  <c r="M26" i="7"/>
  <c r="N26" i="7"/>
  <c r="AA26" i="7"/>
  <c r="AJ26" i="7"/>
  <c r="AK26" i="7"/>
  <c r="AU26" i="7"/>
  <c r="AV26" i="7"/>
  <c r="AY26" i="7"/>
  <c r="AZ23" i="7"/>
  <c r="H14" i="10"/>
  <c r="H16" i="10"/>
  <c r="D8" i="13"/>
  <c r="N21" i="9"/>
  <c r="D14" i="13"/>
  <c r="D18" i="13"/>
  <c r="D13" i="11"/>
  <c r="D93" i="13"/>
  <c r="D95" i="13"/>
  <c r="D9" i="13"/>
  <c r="D15" i="13"/>
  <c r="D19" i="13"/>
  <c r="D12" i="13"/>
  <c r="D20" i="13"/>
  <c r="D26" i="13"/>
  <c r="I21" i="9"/>
  <c r="D25" i="13"/>
  <c r="D27" i="13"/>
  <c r="D30" i="13"/>
  <c r="D44" i="13"/>
  <c r="D46" i="13"/>
  <c r="D6" i="21"/>
  <c r="D8" i="21"/>
  <c r="E6" i="22"/>
  <c r="F27" i="7"/>
  <c r="G27" i="7"/>
  <c r="M27" i="7"/>
  <c r="N27" i="7"/>
  <c r="AA27" i="7"/>
  <c r="AJ27" i="7"/>
  <c r="AK27" i="7"/>
  <c r="AU27" i="7"/>
  <c r="AV27" i="7"/>
  <c r="AY27" i="7"/>
  <c r="D28" i="7"/>
  <c r="F28" i="7"/>
  <c r="G28" i="7"/>
  <c r="K28" i="7"/>
  <c r="M28" i="7"/>
  <c r="N28" i="7"/>
  <c r="AA28" i="7"/>
  <c r="AG28" i="7"/>
  <c r="AJ28" i="7"/>
  <c r="AK28" i="7"/>
  <c r="AS28" i="7"/>
  <c r="AU28" i="7"/>
  <c r="AV28" i="7"/>
  <c r="AY28" i="7"/>
  <c r="F29" i="7"/>
  <c r="G29" i="7"/>
  <c r="M29" i="7"/>
  <c r="N29" i="7"/>
  <c r="AA29" i="7"/>
  <c r="AJ29" i="7"/>
  <c r="AK29" i="7"/>
  <c r="AU29" i="7"/>
  <c r="AV29" i="7"/>
  <c r="AY29" i="7"/>
  <c r="F30" i="7"/>
  <c r="G30" i="7"/>
  <c r="M30" i="7"/>
  <c r="N30" i="7"/>
  <c r="AA30" i="7"/>
  <c r="AJ30" i="7"/>
  <c r="AK30" i="7"/>
  <c r="AU30" i="7"/>
  <c r="AV30" i="7"/>
  <c r="AY30" i="7"/>
  <c r="AZ27" i="7"/>
  <c r="I14" i="10"/>
  <c r="I16" i="10"/>
  <c r="E8" i="13"/>
  <c r="N25" i="9"/>
  <c r="E14" i="13"/>
  <c r="E18" i="13"/>
  <c r="E13" i="11"/>
  <c r="E93" i="13"/>
  <c r="E94" i="13"/>
  <c r="E95" i="13"/>
  <c r="E9" i="13"/>
  <c r="E101" i="13"/>
  <c r="D101" i="13"/>
  <c r="E102" i="13"/>
  <c r="E103" i="13"/>
  <c r="E15" i="13"/>
  <c r="E19" i="13"/>
  <c r="E12" i="13"/>
  <c r="E20" i="13"/>
  <c r="E108" i="13"/>
  <c r="E109" i="13"/>
  <c r="E26" i="13"/>
  <c r="I25" i="9"/>
  <c r="E25" i="13"/>
  <c r="E27" i="13"/>
  <c r="E30" i="13"/>
  <c r="E44" i="13"/>
  <c r="E46" i="13"/>
  <c r="E6" i="21"/>
  <c r="E8" i="21"/>
  <c r="F6" i="22"/>
  <c r="F31" i="7"/>
  <c r="G31" i="7"/>
  <c r="M31" i="7"/>
  <c r="N31" i="7"/>
  <c r="AA31" i="7"/>
  <c r="AJ31" i="7"/>
  <c r="AK31" i="7"/>
  <c r="AU31" i="7"/>
  <c r="AV31" i="7"/>
  <c r="AY31" i="7"/>
  <c r="D32" i="7"/>
  <c r="F32" i="7"/>
  <c r="G32" i="7"/>
  <c r="K32" i="7"/>
  <c r="M32" i="7"/>
  <c r="N32" i="7"/>
  <c r="AG32" i="7"/>
  <c r="AJ32" i="7"/>
  <c r="AK32" i="7"/>
  <c r="AS32" i="7"/>
  <c r="AU32" i="7"/>
  <c r="AV32" i="7"/>
  <c r="AY32" i="7"/>
  <c r="F33" i="7"/>
  <c r="G33" i="7"/>
  <c r="M33" i="7"/>
  <c r="N33" i="7"/>
  <c r="AJ33" i="7"/>
  <c r="AK33" i="7"/>
  <c r="AU33" i="7"/>
  <c r="AV33" i="7"/>
  <c r="AY33" i="7"/>
  <c r="F34" i="7"/>
  <c r="G34" i="7"/>
  <c r="M34" i="7"/>
  <c r="N34" i="7"/>
  <c r="AJ34" i="7"/>
  <c r="AK34" i="7"/>
  <c r="AU34" i="7"/>
  <c r="AV34" i="7"/>
  <c r="AY34" i="7"/>
  <c r="AZ31" i="7"/>
  <c r="J14" i="10"/>
  <c r="J16" i="10"/>
  <c r="F8" i="13"/>
  <c r="N29" i="9"/>
  <c r="F14" i="13"/>
  <c r="F18" i="13"/>
  <c r="F13" i="11"/>
  <c r="F93" i="13"/>
  <c r="F94" i="13"/>
  <c r="F95" i="13"/>
  <c r="F9" i="13"/>
  <c r="F101" i="13"/>
  <c r="F102" i="13"/>
  <c r="F103" i="13"/>
  <c r="F15" i="13"/>
  <c r="F19" i="13"/>
  <c r="F12" i="13"/>
  <c r="F126" i="13"/>
  <c r="F11" i="13"/>
  <c r="F20" i="13"/>
  <c r="F108" i="13"/>
  <c r="F109" i="13"/>
  <c r="F26" i="13"/>
  <c r="I29" i="9"/>
  <c r="F25" i="13"/>
  <c r="F27" i="13"/>
  <c r="F30" i="13"/>
  <c r="F44" i="13"/>
  <c r="F46" i="13"/>
  <c r="F6" i="21"/>
  <c r="F8" i="21"/>
  <c r="G6" i="22"/>
  <c r="F35" i="7"/>
  <c r="G35" i="7"/>
  <c r="M35" i="7"/>
  <c r="N35" i="7"/>
  <c r="AJ35" i="7"/>
  <c r="AK35" i="7"/>
  <c r="AU35" i="7"/>
  <c r="AV35" i="7"/>
  <c r="AY35" i="7"/>
  <c r="D36" i="7"/>
  <c r="F36" i="7"/>
  <c r="G36" i="7"/>
  <c r="K36" i="7"/>
  <c r="M36" i="7"/>
  <c r="N36" i="7"/>
  <c r="AG36" i="7"/>
  <c r="AJ36" i="7"/>
  <c r="AK36" i="7"/>
  <c r="AS36" i="7"/>
  <c r="AU36" i="7"/>
  <c r="AV36" i="7"/>
  <c r="AY36" i="7"/>
  <c r="F37" i="7"/>
  <c r="G37" i="7"/>
  <c r="M37" i="7"/>
  <c r="N37" i="7"/>
  <c r="AJ37" i="7"/>
  <c r="AK37" i="7"/>
  <c r="AU37" i="7"/>
  <c r="AV37" i="7"/>
  <c r="AY37" i="7"/>
  <c r="F38" i="7"/>
  <c r="G38" i="7"/>
  <c r="M38" i="7"/>
  <c r="N38" i="7"/>
  <c r="AJ38" i="7"/>
  <c r="AK38" i="7"/>
  <c r="AU38" i="7"/>
  <c r="AV38" i="7"/>
  <c r="AY38" i="7"/>
  <c r="AZ35" i="7"/>
  <c r="K14" i="10"/>
  <c r="K16" i="10"/>
  <c r="G8" i="13"/>
  <c r="N33" i="9"/>
  <c r="G14" i="13"/>
  <c r="G18" i="13"/>
  <c r="G13" i="11"/>
  <c r="G93" i="13"/>
  <c r="G94" i="13"/>
  <c r="G95" i="13"/>
  <c r="G9" i="13"/>
  <c r="G101" i="13"/>
  <c r="G102" i="13"/>
  <c r="G103" i="13"/>
  <c r="G15" i="13"/>
  <c r="G19" i="13"/>
  <c r="G12" i="13"/>
  <c r="G126" i="13"/>
  <c r="G11" i="13"/>
  <c r="G20" i="13"/>
  <c r="G108" i="13"/>
  <c r="G109" i="13"/>
  <c r="G26" i="13"/>
  <c r="I33" i="9"/>
  <c r="G25" i="13"/>
  <c r="G27" i="13"/>
  <c r="G30" i="13"/>
  <c r="G44" i="13"/>
  <c r="G46" i="13"/>
  <c r="G6" i="21"/>
  <c r="G8" i="21"/>
  <c r="H6" i="22"/>
  <c r="F39" i="7"/>
  <c r="G39" i="7"/>
  <c r="M39" i="7"/>
  <c r="N39" i="7"/>
  <c r="AJ39" i="7"/>
  <c r="AK39" i="7"/>
  <c r="AU39" i="7"/>
  <c r="AV39" i="7"/>
  <c r="AY39" i="7"/>
  <c r="D40" i="7"/>
  <c r="F40" i="7"/>
  <c r="G40" i="7"/>
  <c r="K40" i="7"/>
  <c r="M40" i="7"/>
  <c r="N40" i="7"/>
  <c r="AG40" i="7"/>
  <c r="AJ40" i="7"/>
  <c r="AK40" i="7"/>
  <c r="AS40" i="7"/>
  <c r="AU40" i="7"/>
  <c r="AV40" i="7"/>
  <c r="AY40" i="7"/>
  <c r="F41" i="7"/>
  <c r="G41" i="7"/>
  <c r="M41" i="7"/>
  <c r="N41" i="7"/>
  <c r="AJ41" i="7"/>
  <c r="AK41" i="7"/>
  <c r="AU41" i="7"/>
  <c r="AV41" i="7"/>
  <c r="AY41" i="7"/>
  <c r="F42" i="7"/>
  <c r="G42" i="7"/>
  <c r="M42" i="7"/>
  <c r="N42" i="7"/>
  <c r="AJ42" i="7"/>
  <c r="AK42" i="7"/>
  <c r="AU42" i="7"/>
  <c r="AV42" i="7"/>
  <c r="AY42" i="7"/>
  <c r="AZ39" i="7"/>
  <c r="L14" i="10"/>
  <c r="L16" i="10"/>
  <c r="H8" i="13"/>
  <c r="N37" i="9"/>
  <c r="H14" i="13"/>
  <c r="H18" i="13"/>
  <c r="H13" i="11"/>
  <c r="H93" i="13"/>
  <c r="H94" i="13"/>
  <c r="H95" i="13"/>
  <c r="H9" i="13"/>
  <c r="H101" i="13"/>
  <c r="H102" i="13"/>
  <c r="H103" i="13"/>
  <c r="H15" i="13"/>
  <c r="H19" i="13"/>
  <c r="H12" i="13"/>
  <c r="H126" i="13"/>
  <c r="H11" i="13"/>
  <c r="H20" i="13"/>
  <c r="H108" i="13"/>
  <c r="H109" i="13"/>
  <c r="H26" i="13"/>
  <c r="I37" i="9"/>
  <c r="H25" i="13"/>
  <c r="H27" i="13"/>
  <c r="H30" i="13"/>
  <c r="H44" i="13"/>
  <c r="H46" i="13"/>
  <c r="H6" i="21"/>
  <c r="H8" i="21"/>
  <c r="I6" i="22"/>
  <c r="F43" i="7"/>
  <c r="G43" i="7"/>
  <c r="M43" i="7"/>
  <c r="N43" i="7"/>
  <c r="AJ43" i="7"/>
  <c r="AK43" i="7"/>
  <c r="AU43" i="7"/>
  <c r="AV43" i="7"/>
  <c r="AY43" i="7"/>
  <c r="D44" i="7"/>
  <c r="F44" i="7"/>
  <c r="G44" i="7"/>
  <c r="K44" i="7"/>
  <c r="M44" i="7"/>
  <c r="N44" i="7"/>
  <c r="AG44" i="7"/>
  <c r="AJ44" i="7"/>
  <c r="AK44" i="7"/>
  <c r="AS44" i="7"/>
  <c r="AU44" i="7"/>
  <c r="AV44" i="7"/>
  <c r="AY44" i="7"/>
  <c r="F45" i="7"/>
  <c r="G45" i="7"/>
  <c r="M45" i="7"/>
  <c r="N45" i="7"/>
  <c r="AJ45" i="7"/>
  <c r="AK45" i="7"/>
  <c r="AU45" i="7"/>
  <c r="AV45" i="7"/>
  <c r="AY45" i="7"/>
  <c r="F46" i="7"/>
  <c r="G46" i="7"/>
  <c r="M46" i="7"/>
  <c r="N46" i="7"/>
  <c r="AJ46" i="7"/>
  <c r="AK46" i="7"/>
  <c r="AU46" i="7"/>
  <c r="AV46" i="7"/>
  <c r="AY46" i="7"/>
  <c r="AZ43" i="7"/>
  <c r="M14" i="10"/>
  <c r="M16" i="10"/>
  <c r="I8" i="13"/>
  <c r="N41" i="9"/>
  <c r="I14" i="13"/>
  <c r="I18" i="13"/>
  <c r="I13" i="11"/>
  <c r="I93" i="13"/>
  <c r="I94" i="13"/>
  <c r="I95" i="13"/>
  <c r="I9" i="13"/>
  <c r="I101" i="13"/>
  <c r="I102" i="13"/>
  <c r="I103" i="13"/>
  <c r="I15" i="13"/>
  <c r="I19" i="13"/>
  <c r="I12" i="13"/>
  <c r="I126" i="13"/>
  <c r="I11" i="13"/>
  <c r="I20" i="13"/>
  <c r="I108" i="13"/>
  <c r="I109" i="13"/>
  <c r="I26" i="13"/>
  <c r="I41" i="9"/>
  <c r="I25" i="13"/>
  <c r="I27" i="13"/>
  <c r="I30" i="13"/>
  <c r="I44" i="13"/>
  <c r="I46" i="13"/>
  <c r="I6" i="21"/>
  <c r="I8" i="21"/>
  <c r="J6" i="22"/>
  <c r="F47" i="7"/>
  <c r="G47" i="7"/>
  <c r="M47" i="7"/>
  <c r="N47" i="7"/>
  <c r="AJ47" i="7"/>
  <c r="AK47" i="7"/>
  <c r="AU47" i="7"/>
  <c r="AV47" i="7"/>
  <c r="AY47" i="7"/>
  <c r="D48" i="7"/>
  <c r="F48" i="7"/>
  <c r="G48" i="7"/>
  <c r="K48" i="7"/>
  <c r="M48" i="7"/>
  <c r="N48" i="7"/>
  <c r="AG48" i="7"/>
  <c r="AJ48" i="7"/>
  <c r="AK48" i="7"/>
  <c r="AS48" i="7"/>
  <c r="AU48" i="7"/>
  <c r="AV48" i="7"/>
  <c r="AY48" i="7"/>
  <c r="F49" i="7"/>
  <c r="G49" i="7"/>
  <c r="M49" i="7"/>
  <c r="N49" i="7"/>
  <c r="AJ49" i="7"/>
  <c r="AK49" i="7"/>
  <c r="AU49" i="7"/>
  <c r="AV49" i="7"/>
  <c r="AY49" i="7"/>
  <c r="F50" i="7"/>
  <c r="G50" i="7"/>
  <c r="M50" i="7"/>
  <c r="N50" i="7"/>
  <c r="AJ50" i="7"/>
  <c r="AK50" i="7"/>
  <c r="AU50" i="7"/>
  <c r="AV50" i="7"/>
  <c r="AY50" i="7"/>
  <c r="AZ47" i="7"/>
  <c r="N14" i="10"/>
  <c r="N16" i="10"/>
  <c r="J8" i="13"/>
  <c r="N45" i="9"/>
  <c r="J14" i="13"/>
  <c r="J18" i="13"/>
  <c r="J13" i="11"/>
  <c r="J93" i="13"/>
  <c r="J94" i="13"/>
  <c r="J95" i="13"/>
  <c r="J9" i="13"/>
  <c r="J18" i="11"/>
  <c r="J101" i="13"/>
  <c r="J102" i="13"/>
  <c r="J103" i="13"/>
  <c r="J15" i="13"/>
  <c r="J19" i="13"/>
  <c r="J12" i="13"/>
  <c r="J126" i="13"/>
  <c r="J11" i="13"/>
  <c r="J20" i="13"/>
  <c r="J108" i="13"/>
  <c r="J109" i="13"/>
  <c r="J26" i="13"/>
  <c r="I45" i="9"/>
  <c r="J25" i="13"/>
  <c r="J27" i="13"/>
  <c r="J30" i="13"/>
  <c r="J44" i="13"/>
  <c r="J46" i="13"/>
  <c r="J6" i="21"/>
  <c r="J8" i="21"/>
  <c r="K6" i="22"/>
  <c r="F51" i="7"/>
  <c r="G51" i="7"/>
  <c r="M51" i="7"/>
  <c r="N51" i="7"/>
  <c r="AJ51" i="7"/>
  <c r="AK51" i="7"/>
  <c r="AU51" i="7"/>
  <c r="AV51" i="7"/>
  <c r="AY51" i="7"/>
  <c r="D52" i="7"/>
  <c r="F52" i="7"/>
  <c r="G52" i="7"/>
  <c r="K52" i="7"/>
  <c r="M52" i="7"/>
  <c r="N52" i="7"/>
  <c r="AG52" i="7"/>
  <c r="AJ52" i="7"/>
  <c r="AK52" i="7"/>
  <c r="AS52" i="7"/>
  <c r="AU52" i="7"/>
  <c r="AV52" i="7"/>
  <c r="AY52" i="7"/>
  <c r="F53" i="7"/>
  <c r="G53" i="7"/>
  <c r="M53" i="7"/>
  <c r="N53" i="7"/>
  <c r="AJ53" i="7"/>
  <c r="AK53" i="7"/>
  <c r="AU53" i="7"/>
  <c r="AV53" i="7"/>
  <c r="AY53" i="7"/>
  <c r="F54" i="7"/>
  <c r="G54" i="7"/>
  <c r="M54" i="7"/>
  <c r="N54" i="7"/>
  <c r="AJ54" i="7"/>
  <c r="AK54" i="7"/>
  <c r="AU54" i="7"/>
  <c r="AV54" i="7"/>
  <c r="AY54" i="7"/>
  <c r="AZ51" i="7"/>
  <c r="O14" i="10"/>
  <c r="Q16" i="8"/>
  <c r="R16" i="8"/>
  <c r="O15" i="10"/>
  <c r="O16" i="10"/>
  <c r="K8" i="13"/>
  <c r="N73" i="9"/>
  <c r="K14" i="13"/>
  <c r="K18" i="13"/>
  <c r="K13" i="11"/>
  <c r="K93" i="13"/>
  <c r="K94" i="13"/>
  <c r="K95" i="13"/>
  <c r="K9" i="13"/>
  <c r="K18" i="11"/>
  <c r="K101" i="13"/>
  <c r="K102" i="13"/>
  <c r="K103" i="13"/>
  <c r="K15" i="13"/>
  <c r="K19" i="13"/>
  <c r="K12" i="13"/>
  <c r="K126" i="13"/>
  <c r="K11" i="13"/>
  <c r="K20" i="13"/>
  <c r="K108" i="13"/>
  <c r="K109" i="13"/>
  <c r="K26" i="13"/>
  <c r="H73" i="9"/>
  <c r="H74" i="9"/>
  <c r="H75" i="9"/>
  <c r="H76" i="9"/>
  <c r="I73" i="9"/>
  <c r="K25" i="13"/>
  <c r="K27" i="13"/>
  <c r="K30" i="13"/>
  <c r="K44" i="13"/>
  <c r="K46" i="13"/>
  <c r="K6" i="21"/>
  <c r="K8" i="21"/>
  <c r="L6" i="22"/>
  <c r="F55" i="7"/>
  <c r="G55" i="7"/>
  <c r="M55" i="7"/>
  <c r="N55" i="7"/>
  <c r="AJ55" i="7"/>
  <c r="AK55" i="7"/>
  <c r="AU55" i="7"/>
  <c r="AV55" i="7"/>
  <c r="AY55" i="7"/>
  <c r="D56" i="7"/>
  <c r="F56" i="7"/>
  <c r="G56" i="7"/>
  <c r="K56" i="7"/>
  <c r="M56" i="7"/>
  <c r="N56" i="7"/>
  <c r="AK56" i="7"/>
  <c r="AS56" i="7"/>
  <c r="AU56" i="7"/>
  <c r="AV56" i="7"/>
  <c r="AY56" i="7"/>
  <c r="F57" i="7"/>
  <c r="G57" i="7"/>
  <c r="M57" i="7"/>
  <c r="N57" i="7"/>
  <c r="AK57" i="7"/>
  <c r="AU57" i="7"/>
  <c r="AV57" i="7"/>
  <c r="AY57" i="7"/>
  <c r="F58" i="7"/>
  <c r="G58" i="7"/>
  <c r="M58" i="7"/>
  <c r="N58" i="7"/>
  <c r="AK58" i="7"/>
  <c r="AU58" i="7"/>
  <c r="AV58" i="7"/>
  <c r="AY58" i="7"/>
  <c r="AZ55" i="7"/>
  <c r="P14" i="10"/>
  <c r="Q20" i="8"/>
  <c r="R20" i="8"/>
  <c r="P15" i="10"/>
  <c r="P16" i="10"/>
  <c r="L8" i="13"/>
  <c r="N77" i="9"/>
  <c r="L14" i="13"/>
  <c r="L18" i="13"/>
  <c r="L13" i="11"/>
  <c r="L93" i="13"/>
  <c r="L94" i="13"/>
  <c r="L95" i="13"/>
  <c r="L9" i="13"/>
  <c r="L18" i="11"/>
  <c r="L101" i="13"/>
  <c r="L102" i="13"/>
  <c r="L103" i="13"/>
  <c r="L15" i="13"/>
  <c r="L19" i="13"/>
  <c r="L12" i="13"/>
  <c r="L126" i="13"/>
  <c r="L11" i="13"/>
  <c r="L20" i="13"/>
  <c r="L108" i="13"/>
  <c r="L109" i="13"/>
  <c r="L26" i="13"/>
  <c r="H77" i="9"/>
  <c r="H78" i="9"/>
  <c r="H79" i="9"/>
  <c r="H80" i="9"/>
  <c r="I77" i="9"/>
  <c r="L25" i="13"/>
  <c r="L27" i="13"/>
  <c r="L30" i="13"/>
  <c r="L44" i="13"/>
  <c r="L46" i="13"/>
  <c r="L6" i="21"/>
  <c r="L8" i="21"/>
  <c r="M6" i="22"/>
  <c r="F59" i="7"/>
  <c r="G59" i="7"/>
  <c r="M59" i="7"/>
  <c r="N59" i="7"/>
  <c r="AI59" i="7"/>
  <c r="AK59" i="7"/>
  <c r="AU59" i="7"/>
  <c r="AV59" i="7"/>
  <c r="AY59" i="7"/>
  <c r="D60" i="7"/>
  <c r="F60" i="7"/>
  <c r="G60" i="7"/>
  <c r="L60" i="7"/>
  <c r="K60" i="7"/>
  <c r="M60" i="7"/>
  <c r="N60" i="7"/>
  <c r="AK60" i="7"/>
  <c r="AS60" i="7"/>
  <c r="AU60" i="7"/>
  <c r="AV60" i="7"/>
  <c r="AY60" i="7"/>
  <c r="F61" i="7"/>
  <c r="G61" i="7"/>
  <c r="M61" i="7"/>
  <c r="N61" i="7"/>
  <c r="AK61" i="7"/>
  <c r="AU61" i="7"/>
  <c r="AV61" i="7"/>
  <c r="AY61" i="7"/>
  <c r="F62" i="7"/>
  <c r="G62" i="7"/>
  <c r="M62" i="7"/>
  <c r="N62" i="7"/>
  <c r="AK62" i="7"/>
  <c r="AU62" i="7"/>
  <c r="AV62" i="7"/>
  <c r="AY62" i="7"/>
  <c r="AZ59" i="7"/>
  <c r="Q14" i="10"/>
  <c r="Q24" i="8"/>
  <c r="R24" i="8"/>
  <c r="Q15" i="10"/>
  <c r="Q16" i="10"/>
  <c r="M8" i="13"/>
  <c r="M82" i="9"/>
  <c r="M83" i="9"/>
  <c r="M84" i="9"/>
  <c r="N81" i="9"/>
  <c r="M14" i="13"/>
  <c r="M18" i="13"/>
  <c r="M13" i="11"/>
  <c r="M93" i="13"/>
  <c r="M94" i="13"/>
  <c r="M95" i="13"/>
  <c r="M9" i="13"/>
  <c r="M18" i="11"/>
  <c r="M101" i="13"/>
  <c r="M102" i="13"/>
  <c r="M103" i="13"/>
  <c r="M15" i="13"/>
  <c r="M19" i="13"/>
  <c r="M12" i="13"/>
  <c r="M126" i="13"/>
  <c r="M11" i="13"/>
  <c r="M20" i="13"/>
  <c r="M108" i="13"/>
  <c r="M109" i="13"/>
  <c r="M26" i="13"/>
  <c r="H81" i="9"/>
  <c r="H82" i="9"/>
  <c r="H83" i="9"/>
  <c r="H84" i="9"/>
  <c r="I81" i="9"/>
  <c r="M25" i="13"/>
  <c r="M27" i="13"/>
  <c r="M30" i="13"/>
  <c r="M44" i="13"/>
  <c r="M46" i="13"/>
  <c r="M6" i="21"/>
  <c r="M8" i="21"/>
  <c r="N6" i="22"/>
  <c r="F63" i="7"/>
  <c r="G63" i="7"/>
  <c r="M63" i="7"/>
  <c r="N63" i="7"/>
  <c r="AK63" i="7"/>
  <c r="AU63" i="7"/>
  <c r="AV63" i="7"/>
  <c r="AY63" i="7"/>
  <c r="D64" i="7"/>
  <c r="F64" i="7"/>
  <c r="G64" i="7"/>
  <c r="K64" i="7"/>
  <c r="M64" i="7"/>
  <c r="N64" i="7"/>
  <c r="AF64" i="7"/>
  <c r="AK64" i="7"/>
  <c r="AS64" i="7"/>
  <c r="AR64" i="7"/>
  <c r="AU64" i="7"/>
  <c r="AV64" i="7"/>
  <c r="AY64" i="7"/>
  <c r="F65" i="7"/>
  <c r="G65" i="7"/>
  <c r="M65" i="7"/>
  <c r="N65" i="7"/>
  <c r="AF65" i="7"/>
  <c r="AK65" i="7"/>
  <c r="AR65" i="7"/>
  <c r="AU65" i="7"/>
  <c r="AV65" i="7"/>
  <c r="AY65" i="7"/>
  <c r="F66" i="7"/>
  <c r="G66" i="7"/>
  <c r="M66" i="7"/>
  <c r="N66" i="7"/>
  <c r="AF66" i="7"/>
  <c r="AK66" i="7"/>
  <c r="AR66" i="7"/>
  <c r="AU66" i="7"/>
  <c r="AV66" i="7"/>
  <c r="AY66" i="7"/>
  <c r="AZ63" i="7"/>
  <c r="R14" i="10"/>
  <c r="Q28" i="8"/>
  <c r="R28" i="8"/>
  <c r="R15" i="10"/>
  <c r="R16" i="10"/>
  <c r="N8" i="13"/>
  <c r="M85" i="9"/>
  <c r="N85" i="9"/>
  <c r="N14" i="13"/>
  <c r="N18" i="13"/>
  <c r="N13" i="11"/>
  <c r="N93" i="13"/>
  <c r="N94" i="13"/>
  <c r="N95" i="13"/>
  <c r="N9" i="13"/>
  <c r="N18" i="11"/>
  <c r="N101" i="13"/>
  <c r="N102" i="13"/>
  <c r="N103" i="13"/>
  <c r="N15" i="13"/>
  <c r="N19" i="13"/>
  <c r="N12" i="13"/>
  <c r="N126" i="13"/>
  <c r="N11" i="13"/>
  <c r="N20" i="13"/>
  <c r="N108" i="13"/>
  <c r="N109" i="13"/>
  <c r="N26" i="13"/>
  <c r="H85" i="9"/>
  <c r="H86" i="9"/>
  <c r="H87" i="9"/>
  <c r="H88" i="9"/>
  <c r="I85" i="9"/>
  <c r="N25" i="13"/>
  <c r="N27" i="13"/>
  <c r="N30" i="13"/>
  <c r="N44" i="13"/>
  <c r="N46" i="13"/>
  <c r="N6" i="21"/>
  <c r="N8" i="21"/>
  <c r="O6" i="22"/>
  <c r="F67" i="7"/>
  <c r="G67" i="7"/>
  <c r="M67" i="7"/>
  <c r="N67" i="7"/>
  <c r="AF67" i="7"/>
  <c r="AK67" i="7"/>
  <c r="AR67" i="7"/>
  <c r="AU67" i="7"/>
  <c r="AV67" i="7"/>
  <c r="AY67" i="7"/>
  <c r="D68" i="7"/>
  <c r="F68" i="7"/>
  <c r="G68" i="7"/>
  <c r="K68" i="7"/>
  <c r="M68" i="7"/>
  <c r="N68" i="7"/>
  <c r="AF68" i="7"/>
  <c r="AK68" i="7"/>
  <c r="AS68" i="7"/>
  <c r="AU68" i="7"/>
  <c r="AV68" i="7"/>
  <c r="AY68" i="7"/>
  <c r="F69" i="7"/>
  <c r="G69" i="7"/>
  <c r="M69" i="7"/>
  <c r="N69" i="7"/>
  <c r="AF69" i="7"/>
  <c r="AK69" i="7"/>
  <c r="AU69" i="7"/>
  <c r="AV69" i="7"/>
  <c r="AY69" i="7"/>
  <c r="F70" i="7"/>
  <c r="G70" i="7"/>
  <c r="M70" i="7"/>
  <c r="N70" i="7"/>
  <c r="AF70" i="7"/>
  <c r="AK70" i="7"/>
  <c r="AU70" i="7"/>
  <c r="AV70" i="7"/>
  <c r="AY70" i="7"/>
  <c r="AZ67" i="7"/>
  <c r="S14" i="10"/>
  <c r="Q32" i="8"/>
  <c r="R32" i="8"/>
  <c r="S15" i="10"/>
  <c r="S16" i="10"/>
  <c r="O8" i="13"/>
  <c r="N89" i="9"/>
  <c r="O14" i="13"/>
  <c r="O18" i="13"/>
  <c r="O13" i="11"/>
  <c r="O93" i="13"/>
  <c r="O94" i="13"/>
  <c r="O95" i="13"/>
  <c r="O9" i="13"/>
  <c r="O18" i="11"/>
  <c r="O101" i="13"/>
  <c r="O102" i="13"/>
  <c r="O103" i="13"/>
  <c r="O15" i="13"/>
  <c r="O19" i="13"/>
  <c r="O12" i="13"/>
  <c r="O126" i="13"/>
  <c r="O11" i="13"/>
  <c r="O20" i="13"/>
  <c r="O108" i="13"/>
  <c r="O109" i="13"/>
  <c r="O26" i="13"/>
  <c r="H89" i="9"/>
  <c r="H90" i="9"/>
  <c r="H91" i="9"/>
  <c r="H92" i="9"/>
  <c r="I89" i="9"/>
  <c r="O25" i="13"/>
  <c r="O27" i="13"/>
  <c r="O30" i="13"/>
  <c r="O44" i="13"/>
  <c r="O46" i="13"/>
  <c r="O6" i="21"/>
  <c r="O8" i="21"/>
  <c r="P6" i="22"/>
  <c r="F71" i="7"/>
  <c r="G71" i="7"/>
  <c r="M71" i="7"/>
  <c r="N71" i="7"/>
  <c r="AF71" i="7"/>
  <c r="AK71" i="7"/>
  <c r="AU71" i="7"/>
  <c r="AV71" i="7"/>
  <c r="AY71" i="7"/>
  <c r="D72" i="7"/>
  <c r="F72" i="7"/>
  <c r="G72" i="7"/>
  <c r="K72" i="7"/>
  <c r="M72" i="7"/>
  <c r="N72" i="7"/>
  <c r="AA72" i="7"/>
  <c r="AF72" i="7"/>
  <c r="AK72" i="7"/>
  <c r="AS72" i="7"/>
  <c r="AU72" i="7"/>
  <c r="AV72" i="7"/>
  <c r="AY72" i="7"/>
  <c r="F73" i="7"/>
  <c r="G73" i="7"/>
  <c r="M73" i="7"/>
  <c r="N73" i="7"/>
  <c r="AA73" i="7"/>
  <c r="AF73" i="7"/>
  <c r="AK73" i="7"/>
  <c r="AU73" i="7"/>
  <c r="AV73" i="7"/>
  <c r="AY73" i="7"/>
  <c r="F74" i="7"/>
  <c r="G74" i="7"/>
  <c r="M74" i="7"/>
  <c r="N74" i="7"/>
  <c r="AA74" i="7"/>
  <c r="AF74" i="7"/>
  <c r="AK74" i="7"/>
  <c r="AU74" i="7"/>
  <c r="AV74" i="7"/>
  <c r="AY74" i="7"/>
  <c r="AZ71" i="7"/>
  <c r="T14" i="10"/>
  <c r="Q36" i="8"/>
  <c r="R36" i="8"/>
  <c r="T15" i="10"/>
  <c r="T16" i="10"/>
  <c r="P8" i="13"/>
  <c r="N93" i="9"/>
  <c r="P14" i="13"/>
  <c r="P18" i="13"/>
  <c r="P13" i="11"/>
  <c r="P93" i="13"/>
  <c r="P94" i="13"/>
  <c r="P95" i="13"/>
  <c r="P9" i="13"/>
  <c r="P18" i="11"/>
  <c r="P101" i="13"/>
  <c r="P102" i="13"/>
  <c r="P103" i="13"/>
  <c r="P15" i="13"/>
  <c r="P19" i="13"/>
  <c r="P12" i="13"/>
  <c r="P126" i="13"/>
  <c r="P11" i="13"/>
  <c r="P20" i="13"/>
  <c r="P108" i="13"/>
  <c r="P109" i="13"/>
  <c r="P26" i="13"/>
  <c r="H93" i="9"/>
  <c r="H94" i="9"/>
  <c r="H95" i="9"/>
  <c r="H96" i="9"/>
  <c r="I93" i="9"/>
  <c r="P25" i="13"/>
  <c r="P27" i="13"/>
  <c r="P30" i="13"/>
  <c r="P44" i="13"/>
  <c r="P46" i="13"/>
  <c r="P6" i="21"/>
  <c r="P8" i="21"/>
  <c r="Q6" i="22"/>
  <c r="F75" i="7"/>
  <c r="G75" i="7"/>
  <c r="M75" i="7"/>
  <c r="N75" i="7"/>
  <c r="AA75" i="7"/>
  <c r="AF75" i="7"/>
  <c r="AK75" i="7"/>
  <c r="AU75" i="7"/>
  <c r="AV75" i="7"/>
  <c r="AY75" i="7"/>
  <c r="D76" i="7"/>
  <c r="F76" i="7"/>
  <c r="G76" i="7"/>
  <c r="N76" i="7"/>
  <c r="AA76" i="7"/>
  <c r="AG76" i="7"/>
  <c r="AF76" i="7"/>
  <c r="AK76" i="7"/>
  <c r="AR76" i="7"/>
  <c r="AR77" i="7"/>
  <c r="AR78" i="7"/>
  <c r="AR79" i="7"/>
  <c r="AS76" i="7"/>
  <c r="AU76" i="7"/>
  <c r="AV76" i="7"/>
  <c r="AY76" i="7"/>
  <c r="F77" i="7"/>
  <c r="G77" i="7"/>
  <c r="N77" i="7"/>
  <c r="AA77" i="7"/>
  <c r="AF77" i="7"/>
  <c r="AK77" i="7"/>
  <c r="AU77" i="7"/>
  <c r="AV77" i="7"/>
  <c r="AY77" i="7"/>
  <c r="F78" i="7"/>
  <c r="G78" i="7"/>
  <c r="N78" i="7"/>
  <c r="AA78" i="7"/>
  <c r="AF78" i="7"/>
  <c r="AK78" i="7"/>
  <c r="AU78" i="7"/>
  <c r="AV78" i="7"/>
  <c r="AY78" i="7"/>
  <c r="AZ75" i="7"/>
  <c r="U14" i="10"/>
  <c r="Q40" i="8"/>
  <c r="R40" i="8"/>
  <c r="U15" i="10"/>
  <c r="U16" i="10"/>
  <c r="Q8" i="13"/>
  <c r="N97" i="9"/>
  <c r="Q14" i="13"/>
  <c r="Q18" i="13"/>
  <c r="Q13" i="11"/>
  <c r="Q93" i="13"/>
  <c r="Q94" i="13"/>
  <c r="Q95" i="13"/>
  <c r="Q9" i="13"/>
  <c r="Q18" i="11"/>
  <c r="Q101" i="13"/>
  <c r="Q102" i="13"/>
  <c r="Q103" i="13"/>
  <c r="Q15" i="13"/>
  <c r="Q19" i="13"/>
  <c r="Q12" i="13"/>
  <c r="Q126" i="13"/>
  <c r="Q11" i="13"/>
  <c r="Q20" i="13"/>
  <c r="Q108" i="13"/>
  <c r="Q109" i="13"/>
  <c r="Q26" i="13"/>
  <c r="H97" i="9"/>
  <c r="H98" i="9"/>
  <c r="H99" i="9"/>
  <c r="H100" i="9"/>
  <c r="I97" i="9"/>
  <c r="Q25" i="13"/>
  <c r="Q27" i="13"/>
  <c r="Q30" i="13"/>
  <c r="Q44" i="13"/>
  <c r="Q46" i="13"/>
  <c r="Q6" i="21"/>
  <c r="Q8" i="21"/>
  <c r="R6" i="22"/>
  <c r="E10" i="14"/>
  <c r="E21" i="14"/>
  <c r="E22" i="14"/>
  <c r="D6" i="18"/>
  <c r="D7" i="18"/>
  <c r="D8" i="18"/>
  <c r="D9" i="18"/>
  <c r="D10" i="18"/>
  <c r="D11" i="18"/>
  <c r="D11" i="16"/>
  <c r="D12" i="18"/>
  <c r="C25" i="17"/>
  <c r="D14" i="18"/>
  <c r="D16" i="18"/>
  <c r="D9" i="21"/>
  <c r="D11" i="21"/>
  <c r="E7" i="22"/>
  <c r="F10" i="14"/>
  <c r="F21" i="14"/>
  <c r="F22" i="14"/>
  <c r="E6" i="18"/>
  <c r="E7" i="18"/>
  <c r="E8" i="18"/>
  <c r="E9" i="18"/>
  <c r="E10" i="18"/>
  <c r="E11" i="18"/>
  <c r="E11" i="16"/>
  <c r="E12" i="18"/>
  <c r="D25" i="17"/>
  <c r="E14" i="18"/>
  <c r="E16" i="18"/>
  <c r="E9" i="21"/>
  <c r="E11" i="21"/>
  <c r="F7" i="22"/>
  <c r="G10" i="14"/>
  <c r="G21" i="14"/>
  <c r="G22" i="14"/>
  <c r="F6" i="18"/>
  <c r="F7" i="18"/>
  <c r="F8" i="18"/>
  <c r="F9" i="18"/>
  <c r="F10" i="18"/>
  <c r="F11" i="18"/>
  <c r="F11" i="16"/>
  <c r="F12" i="18"/>
  <c r="E25" i="17"/>
  <c r="F14" i="18"/>
  <c r="F16" i="18"/>
  <c r="F9" i="21"/>
  <c r="F11" i="21"/>
  <c r="G7" i="22"/>
  <c r="H10" i="14"/>
  <c r="H21" i="14"/>
  <c r="H22" i="14"/>
  <c r="G6" i="18"/>
  <c r="G7" i="18"/>
  <c r="G8" i="18"/>
  <c r="G9" i="18"/>
  <c r="G10" i="18"/>
  <c r="G11" i="18"/>
  <c r="G11" i="16"/>
  <c r="G12" i="18"/>
  <c r="F25" i="17"/>
  <c r="G14" i="18"/>
  <c r="G16" i="18"/>
  <c r="G9" i="21"/>
  <c r="G11" i="21"/>
  <c r="H7" i="22"/>
  <c r="I10" i="14"/>
  <c r="I21" i="14"/>
  <c r="I22" i="14"/>
  <c r="H6" i="18"/>
  <c r="H7" i="18"/>
  <c r="H8" i="18"/>
  <c r="H9" i="18"/>
  <c r="H10" i="18"/>
  <c r="H11" i="18"/>
  <c r="H11" i="16"/>
  <c r="H12" i="18"/>
  <c r="G25" i="17"/>
  <c r="H14" i="18"/>
  <c r="H16" i="18"/>
  <c r="H9" i="21"/>
  <c r="H11" i="21"/>
  <c r="I7" i="22"/>
  <c r="J10" i="14"/>
  <c r="J21" i="14"/>
  <c r="J22" i="14"/>
  <c r="I6" i="18"/>
  <c r="I7" i="18"/>
  <c r="I8" i="18"/>
  <c r="I9" i="18"/>
  <c r="I10" i="18"/>
  <c r="I11" i="18"/>
  <c r="I11" i="16"/>
  <c r="I12" i="18"/>
  <c r="H25" i="17"/>
  <c r="I14" i="18"/>
  <c r="I16" i="18"/>
  <c r="I9" i="21"/>
  <c r="I11" i="21"/>
  <c r="J7" i="22"/>
  <c r="K10" i="14"/>
  <c r="K21" i="14"/>
  <c r="K22" i="14"/>
  <c r="J6" i="18"/>
  <c r="J7" i="18"/>
  <c r="J8" i="18"/>
  <c r="J9" i="18"/>
  <c r="J10" i="18"/>
  <c r="J11" i="18"/>
  <c r="J11" i="16"/>
  <c r="J12" i="18"/>
  <c r="I25" i="17"/>
  <c r="J14" i="18"/>
  <c r="J16" i="18"/>
  <c r="J9" i="21"/>
  <c r="J11" i="21"/>
  <c r="K7" i="22"/>
  <c r="L10" i="14"/>
  <c r="L21" i="14"/>
  <c r="L22" i="14"/>
  <c r="K6" i="18"/>
  <c r="K7" i="18"/>
  <c r="K8" i="18"/>
  <c r="K9" i="18"/>
  <c r="K10" i="18"/>
  <c r="K11" i="18"/>
  <c r="K11" i="16"/>
  <c r="K12" i="18"/>
  <c r="J25" i="17"/>
  <c r="K14" i="18"/>
  <c r="K16" i="18"/>
  <c r="K9" i="21"/>
  <c r="K11" i="21"/>
  <c r="L7" i="22"/>
  <c r="M10" i="14"/>
  <c r="M21" i="14"/>
  <c r="M22" i="14"/>
  <c r="L6" i="18"/>
  <c r="L7" i="18"/>
  <c r="L8" i="18"/>
  <c r="L9" i="18"/>
  <c r="L10" i="18"/>
  <c r="L11" i="18"/>
  <c r="L11" i="16"/>
  <c r="L12" i="18"/>
  <c r="K25" i="17"/>
  <c r="L14" i="18"/>
  <c r="L16" i="18"/>
  <c r="L9" i="21"/>
  <c r="L11" i="21"/>
  <c r="M7" i="22"/>
  <c r="N10" i="14"/>
  <c r="N21" i="14"/>
  <c r="N22" i="14"/>
  <c r="M6" i="18"/>
  <c r="M7" i="18"/>
  <c r="M8" i="18"/>
  <c r="M9" i="18"/>
  <c r="M10" i="18"/>
  <c r="M11" i="18"/>
  <c r="M11" i="16"/>
  <c r="M12" i="18"/>
  <c r="L25" i="17"/>
  <c r="M14" i="18"/>
  <c r="M16" i="18"/>
  <c r="M9" i="21"/>
  <c r="M11" i="21"/>
  <c r="N7" i="22"/>
  <c r="O10" i="14"/>
  <c r="O21" i="14"/>
  <c r="O22" i="14"/>
  <c r="N6" i="18"/>
  <c r="N7" i="18"/>
  <c r="N8" i="18"/>
  <c r="N9" i="18"/>
  <c r="N10" i="18"/>
  <c r="N11" i="18"/>
  <c r="N11" i="16"/>
  <c r="N12" i="18"/>
  <c r="M25" i="17"/>
  <c r="N14" i="18"/>
  <c r="N16" i="18"/>
  <c r="N9" i="21"/>
  <c r="N11" i="21"/>
  <c r="O7" i="22"/>
  <c r="P10" i="14"/>
  <c r="P21" i="14"/>
  <c r="P22" i="14"/>
  <c r="O6" i="18"/>
  <c r="O7" i="18"/>
  <c r="O8" i="18"/>
  <c r="O9" i="18"/>
  <c r="O10" i="18"/>
  <c r="O11" i="18"/>
  <c r="O11" i="16"/>
  <c r="O12" i="18"/>
  <c r="N9" i="17"/>
  <c r="N25" i="17"/>
  <c r="O14" i="18"/>
  <c r="O16" i="18"/>
  <c r="O9" i="21"/>
  <c r="O11" i="21"/>
  <c r="P7" i="22"/>
  <c r="Q10" i="14"/>
  <c r="Q21" i="14"/>
  <c r="Q22" i="14"/>
  <c r="P6" i="18"/>
  <c r="P7" i="18"/>
  <c r="P8" i="18"/>
  <c r="P9" i="18"/>
  <c r="P10" i="18"/>
  <c r="P11" i="18"/>
  <c r="P11" i="16"/>
  <c r="P12" i="18"/>
  <c r="O9" i="17"/>
  <c r="O25" i="17"/>
  <c r="P14" i="18"/>
  <c r="P16" i="18"/>
  <c r="P9" i="21"/>
  <c r="P11" i="21"/>
  <c r="Q7" i="22"/>
  <c r="R10" i="14"/>
  <c r="R21" i="14"/>
  <c r="R22" i="14"/>
  <c r="Q6" i="18"/>
  <c r="Q7" i="18"/>
  <c r="Q8" i="18"/>
  <c r="Q9" i="18"/>
  <c r="Q10" i="18"/>
  <c r="Q11" i="18"/>
  <c r="Q11" i="16"/>
  <c r="Q12" i="18"/>
  <c r="P25" i="17"/>
  <c r="Q14" i="18"/>
  <c r="Q16" i="18"/>
  <c r="Q9" i="21"/>
  <c r="Q11" i="21"/>
  <c r="R7" i="22"/>
  <c r="D11" i="19"/>
  <c r="D8" i="19"/>
  <c r="D12" i="19"/>
  <c r="D13" i="19"/>
  <c r="E8" i="22"/>
  <c r="E11" i="19"/>
  <c r="E8" i="19"/>
  <c r="E12" i="19"/>
  <c r="E13" i="19"/>
  <c r="F8" i="22"/>
  <c r="F11" i="19"/>
  <c r="F8" i="19"/>
  <c r="F12" i="19"/>
  <c r="F13" i="19"/>
  <c r="G8" i="22"/>
  <c r="G11" i="19"/>
  <c r="G8" i="19"/>
  <c r="G12" i="19"/>
  <c r="G13" i="19"/>
  <c r="H8" i="22"/>
  <c r="H11" i="19"/>
  <c r="H8" i="19"/>
  <c r="H12" i="19"/>
  <c r="H13" i="19"/>
  <c r="I8" i="22"/>
  <c r="I11" i="19"/>
  <c r="I8" i="19"/>
  <c r="I12" i="19"/>
  <c r="I13" i="19"/>
  <c r="J8" i="22"/>
  <c r="J11" i="19"/>
  <c r="J8" i="19"/>
  <c r="J12" i="19"/>
  <c r="J13" i="19"/>
  <c r="K8" i="22"/>
  <c r="K11" i="19"/>
  <c r="K8" i="19"/>
  <c r="K12" i="19"/>
  <c r="K13" i="19"/>
  <c r="L8" i="22"/>
  <c r="L11" i="19"/>
  <c r="L8" i="19"/>
  <c r="L12" i="19"/>
  <c r="L13" i="19"/>
  <c r="M8" i="22"/>
  <c r="M11" i="19"/>
  <c r="M8" i="19"/>
  <c r="M12" i="19"/>
  <c r="M13" i="19"/>
  <c r="N8" i="22"/>
  <c r="N11" i="19"/>
  <c r="N8" i="19"/>
  <c r="N12" i="19"/>
  <c r="N13" i="19"/>
  <c r="O8" i="22"/>
  <c r="O11" i="19"/>
  <c r="O8" i="19"/>
  <c r="O12" i="19"/>
  <c r="O13" i="19"/>
  <c r="P8" i="22"/>
  <c r="P11" i="19"/>
  <c r="P8" i="19"/>
  <c r="P12" i="19"/>
  <c r="P13" i="19"/>
  <c r="Q8" i="22"/>
  <c r="Q11" i="19"/>
  <c r="Q8" i="19"/>
  <c r="Q12" i="19"/>
  <c r="Q13" i="19"/>
  <c r="R8" i="22"/>
  <c r="E9" i="22"/>
  <c r="C23" i="17"/>
  <c r="C10" i="20"/>
  <c r="C24" i="17"/>
  <c r="C11" i="20"/>
  <c r="C12" i="20"/>
  <c r="E10" i="22"/>
  <c r="D23" i="17"/>
  <c r="D10" i="20"/>
  <c r="D24" i="17"/>
  <c r="D11" i="20"/>
  <c r="D12" i="20"/>
  <c r="F10" i="22"/>
  <c r="E23" i="17"/>
  <c r="E10" i="20"/>
  <c r="E24" i="17"/>
  <c r="E11" i="20"/>
  <c r="E12" i="20"/>
  <c r="G10" i="22"/>
  <c r="F23" i="17"/>
  <c r="F10" i="20"/>
  <c r="F24" i="17"/>
  <c r="F11" i="20"/>
  <c r="F12" i="20"/>
  <c r="H10" i="22"/>
  <c r="G23" i="17"/>
  <c r="G10" i="20"/>
  <c r="G24" i="17"/>
  <c r="G11" i="20"/>
  <c r="G12" i="20"/>
  <c r="I10" i="22"/>
  <c r="H23" i="17"/>
  <c r="H10" i="20"/>
  <c r="H24" i="17"/>
  <c r="H11" i="20"/>
  <c r="H12" i="20"/>
  <c r="J10" i="22"/>
  <c r="I23" i="17"/>
  <c r="I10" i="20"/>
  <c r="I24" i="17"/>
  <c r="I11" i="20"/>
  <c r="I12" i="20"/>
  <c r="K10" i="22"/>
  <c r="J23" i="17"/>
  <c r="J10" i="20"/>
  <c r="J24" i="17"/>
  <c r="J11" i="20"/>
  <c r="J12" i="20"/>
  <c r="L10" i="22"/>
  <c r="K23" i="17"/>
  <c r="K10" i="20"/>
  <c r="K24" i="17"/>
  <c r="K11" i="20"/>
  <c r="K12" i="20"/>
  <c r="M10" i="22"/>
  <c r="L23" i="17"/>
  <c r="L10" i="20"/>
  <c r="L24" i="17"/>
  <c r="L11" i="20"/>
  <c r="L12" i="20"/>
  <c r="N10" i="22"/>
  <c r="M23" i="17"/>
  <c r="M10" i="20"/>
  <c r="M24" i="17"/>
  <c r="M11" i="20"/>
  <c r="M12" i="20"/>
  <c r="O10" i="22"/>
  <c r="N23" i="17"/>
  <c r="N10" i="20"/>
  <c r="N24" i="17"/>
  <c r="N11" i="20"/>
  <c r="N12" i="20"/>
  <c r="P10" i="22"/>
  <c r="O23" i="17"/>
  <c r="O10" i="20"/>
  <c r="O24" i="17"/>
  <c r="O11" i="20"/>
  <c r="O12" i="20"/>
  <c r="Q10" i="22"/>
  <c r="P23" i="17"/>
  <c r="P10" i="20"/>
  <c r="P24" i="17"/>
  <c r="P11" i="20"/>
  <c r="P12" i="20"/>
  <c r="R10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D17" i="19"/>
  <c r="E12" i="22"/>
  <c r="E17" i="19"/>
  <c r="F12" i="22"/>
  <c r="F17" i="19"/>
  <c r="G12" i="22"/>
  <c r="G17" i="19"/>
  <c r="H12" i="22"/>
  <c r="H17" i="19"/>
  <c r="I12" i="22"/>
  <c r="I17" i="19"/>
  <c r="J12" i="22"/>
  <c r="J17" i="19"/>
  <c r="K12" i="22"/>
  <c r="K17" i="19"/>
  <c r="L12" i="22"/>
  <c r="L17" i="19"/>
  <c r="M12" i="22"/>
  <c r="M17" i="19"/>
  <c r="N12" i="22"/>
  <c r="N17" i="19"/>
  <c r="O12" i="22"/>
  <c r="O17" i="19"/>
  <c r="P12" i="22"/>
  <c r="P17" i="19"/>
  <c r="Q12" i="22"/>
  <c r="Q17" i="19"/>
  <c r="R12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C10" i="17"/>
  <c r="D10" i="17"/>
  <c r="E10" i="17"/>
  <c r="F10" i="17"/>
  <c r="G10" i="17"/>
  <c r="H10" i="17"/>
  <c r="I10" i="17"/>
  <c r="J10" i="17"/>
  <c r="K10" i="17"/>
  <c r="L10" i="17"/>
  <c r="M10" i="17"/>
  <c r="P10" i="17"/>
  <c r="C11" i="17"/>
  <c r="D11" i="17"/>
  <c r="E11" i="17"/>
  <c r="F11" i="17"/>
  <c r="G11" i="17"/>
  <c r="H11" i="17"/>
  <c r="I11" i="17"/>
  <c r="J11" i="17"/>
  <c r="K11" i="17"/>
  <c r="L11" i="17"/>
  <c r="M11" i="17"/>
  <c r="P11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C28" i="17"/>
  <c r="D28" i="17"/>
  <c r="E28" i="17"/>
  <c r="F28" i="17"/>
  <c r="G28" i="17"/>
  <c r="H28" i="17"/>
  <c r="I28" i="17"/>
  <c r="J28" i="17"/>
  <c r="K28" i="17"/>
  <c r="L28" i="17"/>
  <c r="C34" i="17"/>
  <c r="D34" i="17"/>
  <c r="E34" i="17"/>
  <c r="F34" i="17"/>
  <c r="G34" i="17"/>
  <c r="H34" i="17"/>
  <c r="I34" i="17"/>
  <c r="J34" i="17"/>
  <c r="K34" i="17"/>
  <c r="L34" i="17"/>
  <c r="M34" i="17"/>
  <c r="P34" i="17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D10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D22" i="14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AL23" i="7"/>
  <c r="D51" i="13"/>
  <c r="AL27" i="7"/>
  <c r="E51" i="13"/>
  <c r="AL31" i="7"/>
  <c r="F51" i="13"/>
  <c r="AL35" i="7"/>
  <c r="G51" i="13"/>
  <c r="AL39" i="7"/>
  <c r="H51" i="13"/>
  <c r="AL43" i="7"/>
  <c r="I51" i="13"/>
  <c r="AL47" i="7"/>
  <c r="J51" i="13"/>
  <c r="AL51" i="7"/>
  <c r="K51" i="13"/>
  <c r="AL55" i="7"/>
  <c r="L51" i="13"/>
  <c r="AL59" i="7"/>
  <c r="M51" i="13"/>
  <c r="AL63" i="7"/>
  <c r="N51" i="13"/>
  <c r="AL67" i="7"/>
  <c r="O51" i="13"/>
  <c r="AL71" i="7"/>
  <c r="P51" i="13"/>
  <c r="AL75" i="7"/>
  <c r="Q51" i="13"/>
  <c r="D19" i="11"/>
  <c r="D25" i="11"/>
  <c r="D30" i="11"/>
  <c r="D38" i="11"/>
  <c r="D37" i="11"/>
  <c r="D35" i="11"/>
  <c r="D36" i="11"/>
  <c r="D116" i="13"/>
  <c r="D118" i="13"/>
  <c r="D52" i="13"/>
  <c r="E19" i="11"/>
  <c r="E25" i="11"/>
  <c r="E30" i="11"/>
  <c r="E38" i="11"/>
  <c r="E37" i="11"/>
  <c r="E35" i="11"/>
  <c r="E36" i="11"/>
  <c r="E116" i="13"/>
  <c r="E117" i="13"/>
  <c r="E118" i="13"/>
  <c r="E52" i="13"/>
  <c r="F19" i="11"/>
  <c r="F25" i="11"/>
  <c r="F30" i="11"/>
  <c r="F38" i="11"/>
  <c r="F37" i="11"/>
  <c r="F35" i="11"/>
  <c r="F36" i="11"/>
  <c r="F116" i="13"/>
  <c r="F117" i="13"/>
  <c r="F118" i="13"/>
  <c r="F52" i="13"/>
  <c r="G19" i="11"/>
  <c r="G25" i="11"/>
  <c r="G30" i="11"/>
  <c r="G38" i="11"/>
  <c r="G37" i="11"/>
  <c r="G35" i="11"/>
  <c r="G36" i="11"/>
  <c r="G116" i="13"/>
  <c r="G117" i="13"/>
  <c r="G118" i="13"/>
  <c r="G52" i="13"/>
  <c r="H19" i="11"/>
  <c r="H25" i="11"/>
  <c r="H30" i="11"/>
  <c r="H38" i="11"/>
  <c r="H37" i="11"/>
  <c r="H35" i="11"/>
  <c r="H36" i="11"/>
  <c r="H116" i="13"/>
  <c r="H117" i="13"/>
  <c r="H118" i="13"/>
  <c r="H52" i="13"/>
  <c r="I19" i="11"/>
  <c r="I25" i="11"/>
  <c r="I30" i="11"/>
  <c r="I38" i="11"/>
  <c r="I37" i="11"/>
  <c r="I35" i="11"/>
  <c r="I36" i="11"/>
  <c r="I116" i="13"/>
  <c r="I117" i="13"/>
  <c r="I118" i="13"/>
  <c r="I52" i="13"/>
  <c r="J19" i="11"/>
  <c r="J25" i="11"/>
  <c r="J30" i="11"/>
  <c r="J38" i="11"/>
  <c r="J37" i="11"/>
  <c r="J35" i="11"/>
  <c r="J36" i="11"/>
  <c r="J116" i="13"/>
  <c r="J117" i="13"/>
  <c r="J118" i="13"/>
  <c r="J52" i="13"/>
  <c r="K19" i="11"/>
  <c r="K25" i="11"/>
  <c r="K30" i="11"/>
  <c r="K38" i="11"/>
  <c r="K37" i="11"/>
  <c r="K35" i="11"/>
  <c r="K36" i="11"/>
  <c r="K116" i="13"/>
  <c r="K117" i="13"/>
  <c r="K118" i="13"/>
  <c r="K52" i="13"/>
  <c r="L19" i="11"/>
  <c r="L25" i="11"/>
  <c r="L30" i="11"/>
  <c r="L38" i="11"/>
  <c r="L37" i="11"/>
  <c r="L35" i="11"/>
  <c r="L36" i="11"/>
  <c r="L116" i="13"/>
  <c r="L117" i="13"/>
  <c r="L118" i="13"/>
  <c r="L52" i="13"/>
  <c r="M19" i="11"/>
  <c r="M25" i="11"/>
  <c r="M30" i="11"/>
  <c r="M38" i="11"/>
  <c r="M37" i="11"/>
  <c r="M35" i="11"/>
  <c r="M36" i="11"/>
  <c r="M116" i="13"/>
  <c r="M117" i="13"/>
  <c r="M118" i="13"/>
  <c r="M52" i="13"/>
  <c r="N19" i="11"/>
  <c r="N25" i="11"/>
  <c r="N30" i="11"/>
  <c r="N38" i="11"/>
  <c r="N37" i="11"/>
  <c r="N35" i="11"/>
  <c r="N36" i="11"/>
  <c r="N116" i="13"/>
  <c r="N117" i="13"/>
  <c r="N118" i="13"/>
  <c r="N52" i="13"/>
  <c r="O19" i="11"/>
  <c r="O25" i="11"/>
  <c r="O30" i="11"/>
  <c r="O38" i="11"/>
  <c r="O37" i="11"/>
  <c r="O35" i="11"/>
  <c r="O36" i="11"/>
  <c r="O116" i="13"/>
  <c r="O117" i="13"/>
  <c r="O118" i="13"/>
  <c r="O52" i="13"/>
  <c r="P19" i="11"/>
  <c r="P25" i="11"/>
  <c r="P30" i="11"/>
  <c r="P38" i="11"/>
  <c r="P37" i="11"/>
  <c r="P35" i="11"/>
  <c r="P36" i="11"/>
  <c r="P116" i="13"/>
  <c r="P117" i="13"/>
  <c r="P118" i="13"/>
  <c r="P52" i="13"/>
  <c r="Q19" i="11"/>
  <c r="Q25" i="11"/>
  <c r="Q30" i="11"/>
  <c r="Q38" i="11"/>
  <c r="Q37" i="11"/>
  <c r="Q35" i="11"/>
  <c r="Q36" i="11"/>
  <c r="Q116" i="13"/>
  <c r="Q117" i="13"/>
  <c r="Q118" i="13"/>
  <c r="Q52" i="13"/>
  <c r="F53" i="13"/>
  <c r="G53" i="13"/>
  <c r="H53" i="13"/>
  <c r="I134" i="13"/>
  <c r="I53" i="13"/>
  <c r="J134" i="13"/>
  <c r="J53" i="13"/>
  <c r="K134" i="13"/>
  <c r="K53" i="13"/>
  <c r="L134" i="13"/>
  <c r="L53" i="13"/>
  <c r="M134" i="13"/>
  <c r="M53" i="13"/>
  <c r="N134" i="13"/>
  <c r="N53" i="13"/>
  <c r="O134" i="13"/>
  <c r="O53" i="13"/>
  <c r="P134" i="13"/>
  <c r="P53" i="13"/>
  <c r="Q134" i="13"/>
  <c r="Q53" i="13"/>
  <c r="D150" i="13"/>
  <c r="D54" i="13"/>
  <c r="F150" i="13"/>
  <c r="F54" i="13"/>
  <c r="G150" i="13"/>
  <c r="G54" i="13"/>
  <c r="H150" i="13"/>
  <c r="H54" i="13"/>
  <c r="I150" i="13"/>
  <c r="I54" i="13"/>
  <c r="J150" i="13"/>
  <c r="J54" i="13"/>
  <c r="K150" i="13"/>
  <c r="K54" i="13"/>
  <c r="L150" i="13"/>
  <c r="L54" i="13"/>
  <c r="M150" i="13"/>
  <c r="M54" i="13"/>
  <c r="N150" i="13"/>
  <c r="N54" i="13"/>
  <c r="O150" i="13"/>
  <c r="O54" i="13"/>
  <c r="P150" i="13"/>
  <c r="P54" i="13"/>
  <c r="Q150" i="13"/>
  <c r="Q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E98" i="13"/>
  <c r="F98" i="13"/>
  <c r="G98" i="13"/>
  <c r="H98" i="13"/>
  <c r="I98" i="13"/>
  <c r="J98" i="13"/>
  <c r="K98" i="13"/>
  <c r="L98" i="13"/>
  <c r="M98" i="13"/>
  <c r="N98" i="13"/>
  <c r="O98" i="13"/>
  <c r="P98" i="13"/>
  <c r="Q98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E104" i="13"/>
  <c r="F104" i="13"/>
  <c r="G104" i="13"/>
  <c r="H104" i="13"/>
  <c r="I104" i="13"/>
  <c r="J104" i="13"/>
  <c r="K104" i="13"/>
  <c r="L104" i="13"/>
  <c r="M104" i="13"/>
  <c r="N104" i="13"/>
  <c r="O104" i="13"/>
  <c r="P104" i="13"/>
  <c r="Q104" i="13"/>
  <c r="E107" i="13"/>
  <c r="F107" i="13"/>
  <c r="G107" i="13"/>
  <c r="H107" i="13"/>
  <c r="I107" i="13"/>
  <c r="J107" i="13"/>
  <c r="K107" i="13"/>
  <c r="L107" i="13"/>
  <c r="M107" i="13"/>
  <c r="N107" i="13"/>
  <c r="O107" i="13"/>
  <c r="P107" i="13"/>
  <c r="Q107" i="13"/>
  <c r="E112" i="13"/>
  <c r="F112" i="13"/>
  <c r="G112" i="13"/>
  <c r="H112" i="13"/>
  <c r="I112" i="13"/>
  <c r="J112" i="13"/>
  <c r="K112" i="13"/>
  <c r="L112" i="13"/>
  <c r="M112" i="13"/>
  <c r="N112" i="13"/>
  <c r="O112" i="13"/>
  <c r="P112" i="13"/>
  <c r="Q112" i="13"/>
  <c r="E113" i="13"/>
  <c r="F113" i="13"/>
  <c r="G113" i="13"/>
  <c r="H113" i="13"/>
  <c r="I113" i="13"/>
  <c r="J113" i="13"/>
  <c r="K113" i="13"/>
  <c r="L113" i="13"/>
  <c r="M113" i="13"/>
  <c r="N113" i="13"/>
  <c r="O113" i="13"/>
  <c r="P113" i="13"/>
  <c r="Q113" i="13"/>
  <c r="E114" i="13"/>
  <c r="F114" i="13"/>
  <c r="G114" i="13"/>
  <c r="H114" i="13"/>
  <c r="I114" i="13"/>
  <c r="J114" i="13"/>
  <c r="K114" i="13"/>
  <c r="L114" i="13"/>
  <c r="M114" i="13"/>
  <c r="N114" i="13"/>
  <c r="O114" i="13"/>
  <c r="P114" i="13"/>
  <c r="Q114" i="13"/>
  <c r="D139" i="13"/>
  <c r="E139" i="13"/>
  <c r="F139" i="13"/>
  <c r="G139" i="13"/>
  <c r="H139" i="13"/>
  <c r="I139" i="13"/>
  <c r="J139" i="13"/>
  <c r="K139" i="13"/>
  <c r="L139" i="13"/>
  <c r="M139" i="13"/>
  <c r="N139" i="13"/>
  <c r="O139" i="13"/>
  <c r="P139" i="13"/>
  <c r="Q139" i="13"/>
  <c r="E150" i="13"/>
  <c r="I158" i="13"/>
  <c r="J158" i="13"/>
  <c r="K158" i="13"/>
  <c r="L158" i="13"/>
  <c r="M158" i="13"/>
  <c r="N158" i="13"/>
  <c r="O158" i="13"/>
  <c r="P158" i="13"/>
  <c r="Q158" i="13"/>
  <c r="I160" i="13"/>
  <c r="J160" i="13"/>
  <c r="K160" i="13"/>
  <c r="L160" i="13"/>
  <c r="M160" i="13"/>
  <c r="N160" i="13"/>
  <c r="O160" i="13"/>
  <c r="P160" i="13"/>
  <c r="Q160" i="13"/>
  <c r="K167" i="13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4" i="3"/>
  <c r="E19" i="3"/>
  <c r="K10" i="12"/>
  <c r="N21" i="8"/>
  <c r="F10" i="3"/>
  <c r="F14" i="3"/>
  <c r="F17" i="3"/>
  <c r="F19" i="3"/>
  <c r="L10" i="12"/>
  <c r="N25" i="8"/>
  <c r="G10" i="3"/>
  <c r="G13" i="3"/>
  <c r="G14" i="3"/>
  <c r="G17" i="3"/>
  <c r="G19" i="3"/>
  <c r="M10" i="12"/>
  <c r="N29" i="8"/>
  <c r="H10" i="3"/>
  <c r="H13" i="3"/>
  <c r="H14" i="3"/>
  <c r="H17" i="3"/>
  <c r="H19" i="3"/>
  <c r="N10" i="12"/>
  <c r="N33" i="8"/>
  <c r="I10" i="3"/>
  <c r="I13" i="3"/>
  <c r="I14" i="3"/>
  <c r="I17" i="3"/>
  <c r="I19" i="3"/>
  <c r="O10" i="12"/>
  <c r="N37" i="8"/>
  <c r="J10" i="3"/>
  <c r="J13" i="3"/>
  <c r="J14" i="3"/>
  <c r="J17" i="3"/>
  <c r="J19" i="3"/>
  <c r="P10" i="12"/>
  <c r="N41" i="8"/>
  <c r="K10" i="3"/>
  <c r="K13" i="3"/>
  <c r="K14" i="3"/>
  <c r="K17" i="3"/>
  <c r="K19" i="3"/>
  <c r="Q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D21" i="4"/>
  <c r="D28" i="4"/>
  <c r="D29" i="4"/>
  <c r="D13" i="12"/>
  <c r="E21" i="4"/>
  <c r="E28" i="4"/>
  <c r="E29" i="4"/>
  <c r="E13" i="12"/>
  <c r="F21" i="4"/>
  <c r="F28" i="4"/>
  <c r="F29" i="4"/>
  <c r="F13" i="12"/>
  <c r="G21" i="4"/>
  <c r="G28" i="4"/>
  <c r="G29" i="4"/>
  <c r="G13" i="12"/>
  <c r="H21" i="4"/>
  <c r="H28" i="4"/>
  <c r="H29" i="4"/>
  <c r="H13" i="12"/>
  <c r="I21" i="4"/>
  <c r="I28" i="4"/>
  <c r="I29" i="4"/>
  <c r="I13" i="12"/>
  <c r="J21" i="4"/>
  <c r="J28" i="4"/>
  <c r="J29" i="4"/>
  <c r="J13" i="12"/>
  <c r="K21" i="4"/>
  <c r="K28" i="4"/>
  <c r="K29" i="4"/>
  <c r="K13" i="12"/>
  <c r="L21" i="4"/>
  <c r="L29" i="4"/>
  <c r="L13" i="12"/>
  <c r="M13" i="12"/>
  <c r="N13" i="12"/>
  <c r="O13" i="12"/>
  <c r="P13" i="12"/>
  <c r="Q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G19" i="7"/>
  <c r="N19" i="7"/>
  <c r="X19" i="7"/>
  <c r="F20" i="7"/>
  <c r="G20" i="7"/>
  <c r="M20" i="7"/>
  <c r="N20" i="7"/>
  <c r="X20" i="7"/>
  <c r="F21" i="7"/>
  <c r="G21" i="7"/>
  <c r="M21" i="7"/>
  <c r="N21" i="7"/>
  <c r="X21" i="7"/>
  <c r="F22" i="7"/>
  <c r="G22" i="7"/>
  <c r="M22" i="7"/>
  <c r="N22" i="7"/>
  <c r="X22" i="7"/>
  <c r="Y19" i="7"/>
  <c r="AA20" i="7"/>
  <c r="AA21" i="7"/>
  <c r="AA22" i="7"/>
  <c r="AB19" i="7"/>
  <c r="AE19" i="7"/>
  <c r="G10" i="10"/>
  <c r="X23" i="7"/>
  <c r="X24" i="7"/>
  <c r="X25" i="7"/>
  <c r="X26" i="7"/>
  <c r="Y23" i="7"/>
  <c r="AB23" i="7"/>
  <c r="AE23" i="7"/>
  <c r="H10" i="10"/>
  <c r="X27" i="7"/>
  <c r="X28" i="7"/>
  <c r="X29" i="7"/>
  <c r="X30" i="7"/>
  <c r="Y27" i="7"/>
  <c r="AB27" i="7"/>
  <c r="AE27" i="7"/>
  <c r="I10" i="10"/>
  <c r="X31" i="7"/>
  <c r="X32" i="7"/>
  <c r="X33" i="7"/>
  <c r="X34" i="7"/>
  <c r="Y31" i="7"/>
  <c r="AB31" i="7"/>
  <c r="AE31" i="7"/>
  <c r="J10" i="10"/>
  <c r="X35" i="7"/>
  <c r="X36" i="7"/>
  <c r="X37" i="7"/>
  <c r="X38" i="7"/>
  <c r="Y35" i="7"/>
  <c r="AB35" i="7"/>
  <c r="AE35" i="7"/>
  <c r="K10" i="10"/>
  <c r="X39" i="7"/>
  <c r="X40" i="7"/>
  <c r="X41" i="7"/>
  <c r="X42" i="7"/>
  <c r="Y39" i="7"/>
  <c r="AB39" i="7"/>
  <c r="AE39" i="7"/>
  <c r="L10" i="10"/>
  <c r="X43" i="7"/>
  <c r="X44" i="7"/>
  <c r="X45" i="7"/>
  <c r="X46" i="7"/>
  <c r="Y43" i="7"/>
  <c r="AB43" i="7"/>
  <c r="AE43" i="7"/>
  <c r="M10" i="10"/>
  <c r="X47" i="7"/>
  <c r="X48" i="7"/>
  <c r="X49" i="7"/>
  <c r="X50" i="7"/>
  <c r="Y47" i="7"/>
  <c r="AB47" i="7"/>
  <c r="AE47" i="7"/>
  <c r="N10" i="10"/>
  <c r="X51" i="7"/>
  <c r="X52" i="7"/>
  <c r="X53" i="7"/>
  <c r="X54" i="7"/>
  <c r="Y51" i="7"/>
  <c r="AB51" i="7"/>
  <c r="AE51" i="7"/>
  <c r="O10" i="10"/>
  <c r="X55" i="7"/>
  <c r="X56" i="7"/>
  <c r="X57" i="7"/>
  <c r="X58" i="7"/>
  <c r="Y55" i="7"/>
  <c r="AB55" i="7"/>
  <c r="AE55" i="7"/>
  <c r="P10" i="10"/>
  <c r="X59" i="7"/>
  <c r="X60" i="7"/>
  <c r="X61" i="7"/>
  <c r="X62" i="7"/>
  <c r="Y59" i="7"/>
  <c r="AB59" i="7"/>
  <c r="AE59" i="7"/>
  <c r="Q10" i="10"/>
  <c r="X63" i="7"/>
  <c r="X64" i="7"/>
  <c r="X65" i="7"/>
  <c r="X66" i="7"/>
  <c r="Y63" i="7"/>
  <c r="AB63" i="7"/>
  <c r="AE63" i="7"/>
  <c r="R10" i="10"/>
  <c r="X67" i="7"/>
  <c r="X68" i="7"/>
  <c r="X69" i="7"/>
  <c r="X70" i="7"/>
  <c r="Y67" i="7"/>
  <c r="AB67" i="7"/>
  <c r="AE67" i="7"/>
  <c r="S10" i="10"/>
  <c r="X71" i="7"/>
  <c r="X72" i="7"/>
  <c r="X73" i="7"/>
  <c r="X74" i="7"/>
  <c r="Y71" i="7"/>
  <c r="AB71" i="7"/>
  <c r="AE71" i="7"/>
  <c r="T10" i="10"/>
  <c r="X75" i="7"/>
  <c r="X76" i="7"/>
  <c r="X77" i="7"/>
  <c r="X78" i="7"/>
  <c r="Y75" i="7"/>
  <c r="AB75" i="7"/>
  <c r="AE75" i="7"/>
  <c r="U10" i="10"/>
  <c r="AK19" i="7"/>
  <c r="AK20" i="7"/>
  <c r="AK21" i="7"/>
  <c r="AK22" i="7"/>
  <c r="AL19" i="7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AV19" i="7"/>
  <c r="AY19" i="7"/>
  <c r="AU20" i="7"/>
  <c r="AV20" i="7"/>
  <c r="AY20" i="7"/>
  <c r="AU21" i="7"/>
  <c r="AV21" i="7"/>
  <c r="AY21" i="7"/>
  <c r="AU22" i="7"/>
  <c r="AV22" i="7"/>
  <c r="AY22" i="7"/>
  <c r="AZ19" i="7"/>
  <c r="G14" i="10"/>
  <c r="G16" i="10"/>
  <c r="N17" i="9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H21" i="9"/>
  <c r="D14" i="5"/>
  <c r="J21" i="9"/>
  <c r="K21" i="9"/>
  <c r="H22" i="9"/>
  <c r="H23" i="9"/>
  <c r="H24" i="9"/>
  <c r="H25" i="9"/>
  <c r="I22" i="9"/>
  <c r="N22" i="9"/>
  <c r="E14" i="5"/>
  <c r="J25" i="9"/>
  <c r="K25" i="9"/>
  <c r="H26" i="9"/>
  <c r="H27" i="9"/>
  <c r="H28" i="9"/>
  <c r="H29" i="9"/>
  <c r="I26" i="9"/>
  <c r="N26" i="9"/>
  <c r="F14" i="5"/>
  <c r="J29" i="9"/>
  <c r="J30" i="9"/>
  <c r="J31" i="9"/>
  <c r="J32" i="9"/>
  <c r="K29" i="9"/>
  <c r="H30" i="9"/>
  <c r="H31" i="9"/>
  <c r="H32" i="9"/>
  <c r="H33" i="9"/>
  <c r="I30" i="9"/>
  <c r="N30" i="9"/>
  <c r="G14" i="5"/>
  <c r="J33" i="9"/>
  <c r="J34" i="9"/>
  <c r="J35" i="9"/>
  <c r="J36" i="9"/>
  <c r="K33" i="9"/>
  <c r="H34" i="9"/>
  <c r="H35" i="9"/>
  <c r="H36" i="9"/>
  <c r="H37" i="9"/>
  <c r="I34" i="9"/>
  <c r="N34" i="9"/>
  <c r="H14" i="5"/>
  <c r="J37" i="9"/>
  <c r="J38" i="9"/>
  <c r="J39" i="9"/>
  <c r="J40" i="9"/>
  <c r="K37" i="9"/>
  <c r="H38" i="9"/>
  <c r="H39" i="9"/>
  <c r="H40" i="9"/>
  <c r="H41" i="9"/>
  <c r="I38" i="9"/>
  <c r="N38" i="9"/>
  <c r="I14" i="5"/>
  <c r="J41" i="9"/>
  <c r="J42" i="9"/>
  <c r="J43" i="9"/>
  <c r="J44" i="9"/>
  <c r="K41" i="9"/>
  <c r="H42" i="9"/>
  <c r="H43" i="9"/>
  <c r="H44" i="9"/>
  <c r="H45" i="9"/>
  <c r="I42" i="9"/>
  <c r="N42" i="9"/>
  <c r="J14" i="5"/>
  <c r="J45" i="9"/>
  <c r="J46" i="9"/>
  <c r="J47" i="9"/>
  <c r="J48" i="9"/>
  <c r="K45" i="9"/>
  <c r="H46" i="9"/>
  <c r="H47" i="9"/>
  <c r="H48" i="9"/>
  <c r="I46" i="9"/>
  <c r="N46" i="9"/>
  <c r="K14" i="5"/>
  <c r="J73" i="9"/>
  <c r="J74" i="9"/>
  <c r="J75" i="9"/>
  <c r="J76" i="9"/>
  <c r="K73" i="9"/>
  <c r="I74" i="9"/>
  <c r="N74" i="9"/>
  <c r="L14" i="5"/>
  <c r="J77" i="9"/>
  <c r="J78" i="9"/>
  <c r="J79" i="9"/>
  <c r="J80" i="9"/>
  <c r="K77" i="9"/>
  <c r="I78" i="9"/>
  <c r="N78" i="9"/>
  <c r="M14" i="5"/>
  <c r="J81" i="9"/>
  <c r="J82" i="9"/>
  <c r="J83" i="9"/>
  <c r="J84" i="9"/>
  <c r="K81" i="9"/>
  <c r="I82" i="9"/>
  <c r="N82" i="9"/>
  <c r="N14" i="5"/>
  <c r="J85" i="9"/>
  <c r="J86" i="9"/>
  <c r="J87" i="9"/>
  <c r="J88" i="9"/>
  <c r="K85" i="9"/>
  <c r="I86" i="9"/>
  <c r="N86" i="9"/>
  <c r="O14" i="5"/>
  <c r="J89" i="9"/>
  <c r="J90" i="9"/>
  <c r="J91" i="9"/>
  <c r="J92" i="9"/>
  <c r="K89" i="9"/>
  <c r="I90" i="9"/>
  <c r="N90" i="9"/>
  <c r="P14" i="5"/>
  <c r="J93" i="9"/>
  <c r="J94" i="9"/>
  <c r="J95" i="9"/>
  <c r="J96" i="9"/>
  <c r="J97" i="9"/>
  <c r="K93" i="9"/>
  <c r="I94" i="9"/>
  <c r="N94" i="9"/>
  <c r="J98" i="9"/>
  <c r="J99" i="9"/>
  <c r="J100" i="9"/>
  <c r="K97" i="9"/>
  <c r="H101" i="9"/>
  <c r="I98" i="9"/>
  <c r="N98" i="9"/>
  <c r="Q17" i="8"/>
  <c r="R17" i="8"/>
  <c r="Q18" i="8"/>
  <c r="Q19" i="8"/>
  <c r="N20" i="8"/>
  <c r="Q21" i="8"/>
  <c r="R21" i="8"/>
  <c r="Q22" i="8"/>
  <c r="Q23" i="8"/>
  <c r="N24" i="8"/>
  <c r="Q25" i="8"/>
  <c r="R25" i="8"/>
  <c r="Q26" i="8"/>
  <c r="Q27" i="8"/>
  <c r="N28" i="8"/>
  <c r="Q29" i="8"/>
  <c r="R29" i="8"/>
  <c r="Q30" i="8"/>
  <c r="Q31" i="8"/>
  <c r="N32" i="8"/>
  <c r="Q33" i="8"/>
  <c r="R33" i="8"/>
  <c r="Q34" i="8"/>
  <c r="Q35" i="8"/>
  <c r="N36" i="8"/>
  <c r="Q37" i="8"/>
  <c r="R37" i="8"/>
  <c r="Q38" i="8"/>
  <c r="Q39" i="8"/>
  <c r="N40" i="8"/>
  <c r="Q41" i="8"/>
  <c r="R41" i="8"/>
  <c r="D19" i="7"/>
  <c r="H19" i="7"/>
  <c r="K19" i="7"/>
  <c r="O19" i="7"/>
  <c r="R19" i="7"/>
  <c r="AD19" i="7"/>
  <c r="AG19" i="7"/>
  <c r="AO19" i="7"/>
  <c r="AS19" i="7"/>
  <c r="AW19" i="7"/>
  <c r="H20" i="7"/>
  <c r="O20" i="7"/>
  <c r="R20" i="7"/>
  <c r="Y20" i="7"/>
  <c r="AB20" i="7"/>
  <c r="AD20" i="7"/>
  <c r="AE20" i="7"/>
  <c r="AG20" i="7"/>
  <c r="AL20" i="7"/>
  <c r="AO20" i="7"/>
  <c r="AW20" i="7"/>
  <c r="AZ20" i="7"/>
  <c r="AD21" i="7"/>
  <c r="AD22" i="7"/>
  <c r="D23" i="7"/>
  <c r="H23" i="7"/>
  <c r="K23" i="7"/>
  <c r="O23" i="7"/>
  <c r="R23" i="7"/>
  <c r="AD23" i="7"/>
  <c r="AG23" i="7"/>
  <c r="AO23" i="7"/>
  <c r="AS23" i="7"/>
  <c r="AW23" i="7"/>
  <c r="H24" i="7"/>
  <c r="O24" i="7"/>
  <c r="R24" i="7"/>
  <c r="Y24" i="7"/>
  <c r="AB24" i="7"/>
  <c r="AD24" i="7"/>
  <c r="AE24" i="7"/>
  <c r="AL24" i="7"/>
  <c r="AO24" i="7"/>
  <c r="AW24" i="7"/>
  <c r="AZ24" i="7"/>
  <c r="AD25" i="7"/>
  <c r="AD26" i="7"/>
  <c r="D27" i="7"/>
  <c r="H27" i="7"/>
  <c r="K27" i="7"/>
  <c r="O27" i="7"/>
  <c r="R27" i="7"/>
  <c r="AD27" i="7"/>
  <c r="AG27" i="7"/>
  <c r="AO27" i="7"/>
  <c r="AS27" i="7"/>
  <c r="AW27" i="7"/>
  <c r="H28" i="7"/>
  <c r="O28" i="7"/>
  <c r="R28" i="7"/>
  <c r="Y28" i="7"/>
  <c r="AB28" i="7"/>
  <c r="AD28" i="7"/>
  <c r="AE28" i="7"/>
  <c r="AL28" i="7"/>
  <c r="AO28" i="7"/>
  <c r="AW28" i="7"/>
  <c r="AZ28" i="7"/>
  <c r="AD29" i="7"/>
  <c r="AD30" i="7"/>
  <c r="D31" i="7"/>
  <c r="H31" i="7"/>
  <c r="K31" i="7"/>
  <c r="O31" i="7"/>
  <c r="R31" i="7"/>
  <c r="AD31" i="7"/>
  <c r="AG31" i="7"/>
  <c r="AO31" i="7"/>
  <c r="AS31" i="7"/>
  <c r="AW31" i="7"/>
  <c r="H32" i="7"/>
  <c r="O32" i="7"/>
  <c r="R32" i="7"/>
  <c r="Y32" i="7"/>
  <c r="AB32" i="7"/>
  <c r="AD32" i="7"/>
  <c r="AE32" i="7"/>
  <c r="AL32" i="7"/>
  <c r="AO32" i="7"/>
  <c r="AW32" i="7"/>
  <c r="AZ32" i="7"/>
  <c r="AD33" i="7"/>
  <c r="AD34" i="7"/>
  <c r="D35" i="7"/>
  <c r="H35" i="7"/>
  <c r="K35" i="7"/>
  <c r="O35" i="7"/>
  <c r="R35" i="7"/>
  <c r="AD35" i="7"/>
  <c r="AG35" i="7"/>
  <c r="AO35" i="7"/>
  <c r="AS35" i="7"/>
  <c r="AW35" i="7"/>
  <c r="H36" i="7"/>
  <c r="O36" i="7"/>
  <c r="R36" i="7"/>
  <c r="Y36" i="7"/>
  <c r="AB36" i="7"/>
  <c r="AD36" i="7"/>
  <c r="AE36" i="7"/>
  <c r="AL36" i="7"/>
  <c r="AO36" i="7"/>
  <c r="AW36" i="7"/>
  <c r="AZ36" i="7"/>
  <c r="AD37" i="7"/>
  <c r="AD38" i="7"/>
  <c r="D39" i="7"/>
  <c r="H39" i="7"/>
  <c r="K39" i="7"/>
  <c r="O39" i="7"/>
  <c r="R39" i="7"/>
  <c r="AD39" i="7"/>
  <c r="AG39" i="7"/>
  <c r="AO39" i="7"/>
  <c r="AS39" i="7"/>
  <c r="AW39" i="7"/>
  <c r="H40" i="7"/>
  <c r="O40" i="7"/>
  <c r="R40" i="7"/>
  <c r="Y40" i="7"/>
  <c r="AB40" i="7"/>
  <c r="AD40" i="7"/>
  <c r="AE40" i="7"/>
  <c r="AL40" i="7"/>
  <c r="AO40" i="7"/>
  <c r="AW40" i="7"/>
  <c r="AZ40" i="7"/>
  <c r="AD41" i="7"/>
  <c r="AD42" i="7"/>
  <c r="D43" i="7"/>
  <c r="H43" i="7"/>
  <c r="K43" i="7"/>
  <c r="O43" i="7"/>
  <c r="R43" i="7"/>
  <c r="AD43" i="7"/>
  <c r="AG43" i="7"/>
  <c r="AO43" i="7"/>
  <c r="AS43" i="7"/>
  <c r="AW43" i="7"/>
  <c r="H44" i="7"/>
  <c r="O44" i="7"/>
  <c r="R44" i="7"/>
  <c r="Y44" i="7"/>
  <c r="AB44" i="7"/>
  <c r="AD44" i="7"/>
  <c r="AE44" i="7"/>
  <c r="AL44" i="7"/>
  <c r="AO44" i="7"/>
  <c r="AW44" i="7"/>
  <c r="AZ44" i="7"/>
  <c r="AD45" i="7"/>
  <c r="AD46" i="7"/>
  <c r="D47" i="7"/>
  <c r="H47" i="7"/>
  <c r="K47" i="7"/>
  <c r="O47" i="7"/>
  <c r="R47" i="7"/>
  <c r="AD47" i="7"/>
  <c r="AG47" i="7"/>
  <c r="AO47" i="7"/>
  <c r="AS47" i="7"/>
  <c r="AW47" i="7"/>
  <c r="H48" i="7"/>
  <c r="O48" i="7"/>
  <c r="R48" i="7"/>
  <c r="Y48" i="7"/>
  <c r="AB48" i="7"/>
  <c r="AD48" i="7"/>
  <c r="AE48" i="7"/>
  <c r="AL48" i="7"/>
  <c r="AO48" i="7"/>
  <c r="AW48" i="7"/>
  <c r="AZ48" i="7"/>
  <c r="AD49" i="7"/>
  <c r="AD50" i="7"/>
  <c r="D51" i="7"/>
  <c r="H51" i="7"/>
  <c r="K51" i="7"/>
  <c r="O51" i="7"/>
  <c r="R51" i="7"/>
  <c r="AD51" i="7"/>
  <c r="AG51" i="7"/>
  <c r="AO51" i="7"/>
  <c r="AS51" i="7"/>
  <c r="AW51" i="7"/>
  <c r="H52" i="7"/>
  <c r="O52" i="7"/>
  <c r="R52" i="7"/>
  <c r="Y52" i="7"/>
  <c r="AB52" i="7"/>
  <c r="AD52" i="7"/>
  <c r="AE52" i="7"/>
  <c r="AL52" i="7"/>
  <c r="AO52" i="7"/>
  <c r="AW52" i="7"/>
  <c r="AZ52" i="7"/>
  <c r="AD53" i="7"/>
  <c r="AD54" i="7"/>
  <c r="D55" i="7"/>
  <c r="H55" i="7"/>
  <c r="K55" i="7"/>
  <c r="O55" i="7"/>
  <c r="R55" i="7"/>
  <c r="AD55" i="7"/>
  <c r="AG55" i="7"/>
  <c r="AO55" i="7"/>
  <c r="AS55" i="7"/>
  <c r="AW55" i="7"/>
  <c r="H56" i="7"/>
  <c r="O56" i="7"/>
  <c r="R56" i="7"/>
  <c r="Y56" i="7"/>
  <c r="AB56" i="7"/>
  <c r="AD56" i="7"/>
  <c r="AE56" i="7"/>
  <c r="AG56" i="7"/>
  <c r="AL56" i="7"/>
  <c r="AO56" i="7"/>
  <c r="AW56" i="7"/>
  <c r="AZ56" i="7"/>
  <c r="AD57" i="7"/>
  <c r="AD58" i="7"/>
  <c r="D59" i="7"/>
  <c r="H59" i="7"/>
  <c r="K59" i="7"/>
  <c r="O59" i="7"/>
  <c r="R59" i="7"/>
  <c r="AD59" i="7"/>
  <c r="AG59" i="7"/>
  <c r="AO59" i="7"/>
  <c r="AS59" i="7"/>
  <c r="AW59" i="7"/>
  <c r="H60" i="7"/>
  <c r="O60" i="7"/>
  <c r="R60" i="7"/>
  <c r="Y60" i="7"/>
  <c r="AB60" i="7"/>
  <c r="AD60" i="7"/>
  <c r="AE60" i="7"/>
  <c r="AG60" i="7"/>
  <c r="AL60" i="7"/>
  <c r="AO60" i="7"/>
  <c r="AW60" i="7"/>
  <c r="AZ60" i="7"/>
  <c r="AD61" i="7"/>
  <c r="AD62" i="7"/>
  <c r="D63" i="7"/>
  <c r="H63" i="7"/>
  <c r="K63" i="7"/>
  <c r="O63" i="7"/>
  <c r="R63" i="7"/>
  <c r="AD63" i="7"/>
  <c r="AG63" i="7"/>
  <c r="AO63" i="7"/>
  <c r="AS63" i="7"/>
  <c r="AW63" i="7"/>
  <c r="H64" i="7"/>
  <c r="O64" i="7"/>
  <c r="R64" i="7"/>
  <c r="Y64" i="7"/>
  <c r="AB64" i="7"/>
  <c r="AD64" i="7"/>
  <c r="AE64" i="7"/>
  <c r="AL64" i="7"/>
  <c r="AO64" i="7"/>
  <c r="AW64" i="7"/>
  <c r="AZ64" i="7"/>
  <c r="AD65" i="7"/>
  <c r="AD66" i="7"/>
  <c r="D67" i="7"/>
  <c r="H67" i="7"/>
  <c r="K67" i="7"/>
  <c r="O67" i="7"/>
  <c r="R67" i="7"/>
  <c r="AD67" i="7"/>
  <c r="AG67" i="7"/>
  <c r="AO67" i="7"/>
  <c r="AS67" i="7"/>
  <c r="AW67" i="7"/>
  <c r="H68" i="7"/>
  <c r="O68" i="7"/>
  <c r="R68" i="7"/>
  <c r="Y68" i="7"/>
  <c r="AB68" i="7"/>
  <c r="AD68" i="7"/>
  <c r="AE68" i="7"/>
  <c r="AL68" i="7"/>
  <c r="AO68" i="7"/>
  <c r="AW68" i="7"/>
  <c r="AZ68" i="7"/>
  <c r="AD69" i="7"/>
  <c r="AD70" i="7"/>
  <c r="D71" i="7"/>
  <c r="H71" i="7"/>
  <c r="K71" i="7"/>
  <c r="O71" i="7"/>
  <c r="R71" i="7"/>
  <c r="AD71" i="7"/>
  <c r="AG71" i="7"/>
  <c r="AO71" i="7"/>
  <c r="AS71" i="7"/>
  <c r="AW71" i="7"/>
  <c r="H72" i="7"/>
  <c r="O72" i="7"/>
  <c r="R72" i="7"/>
  <c r="Y72" i="7"/>
  <c r="AD72" i="7"/>
  <c r="AE72" i="7"/>
  <c r="AL72" i="7"/>
  <c r="AO72" i="7"/>
  <c r="AW72" i="7"/>
  <c r="AZ72" i="7"/>
  <c r="AD73" i="7"/>
  <c r="AD74" i="7"/>
  <c r="D75" i="7"/>
  <c r="H75" i="7"/>
  <c r="K75" i="7"/>
  <c r="O75" i="7"/>
  <c r="R75" i="7"/>
  <c r="AD75" i="7"/>
  <c r="AG75" i="7"/>
  <c r="AO75" i="7"/>
  <c r="AS75" i="7"/>
  <c r="AW75" i="7"/>
  <c r="F79" i="7"/>
  <c r="G79" i="7"/>
  <c r="H76" i="7"/>
  <c r="K76" i="7"/>
  <c r="L76" i="7"/>
  <c r="N79" i="7"/>
  <c r="O76" i="7"/>
  <c r="R76" i="7"/>
  <c r="X79" i="7"/>
  <c r="Y76" i="7"/>
  <c r="AD76" i="7"/>
  <c r="AE76" i="7"/>
  <c r="AF79" i="7"/>
  <c r="AK79" i="7"/>
  <c r="AL76" i="7"/>
  <c r="AO76" i="7"/>
  <c r="AU79" i="7"/>
  <c r="AV79" i="7"/>
  <c r="AW76" i="7"/>
  <c r="AA79" i="7"/>
  <c r="AY79" i="7"/>
  <c r="AZ76" i="7"/>
  <c r="AD77" i="7"/>
  <c r="AD78" i="7"/>
  <c r="AD79" i="7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K11" i="6"/>
  <c r="L11" i="6"/>
  <c r="M11" i="6"/>
  <c r="N11" i="6"/>
  <c r="O11" i="6"/>
  <c r="P11" i="6"/>
  <c r="Q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E18" i="2"/>
  <c r="D14" i="6"/>
  <c r="F18" i="2"/>
  <c r="E14" i="6"/>
  <c r="G18" i="2"/>
  <c r="F14" i="6"/>
  <c r="H18" i="2"/>
  <c r="G14" i="6"/>
  <c r="I18" i="2"/>
  <c r="H14" i="6"/>
  <c r="J18" i="2"/>
  <c r="I14" i="6"/>
  <c r="K18" i="2"/>
  <c r="J14" i="6"/>
  <c r="L18" i="2"/>
  <c r="K14" i="6"/>
  <c r="M18" i="2"/>
  <c r="L14" i="6"/>
  <c r="N18" i="2"/>
  <c r="M14" i="6"/>
  <c r="O18" i="2"/>
  <c r="N14" i="6"/>
  <c r="P18" i="2"/>
  <c r="O14" i="6"/>
  <c r="Q18" i="2"/>
  <c r="P14" i="6"/>
  <c r="R18" i="2"/>
  <c r="Q14" i="6"/>
  <c r="D11" i="4"/>
  <c r="E20" i="2"/>
  <c r="D12" i="4"/>
  <c r="D13" i="4"/>
  <c r="D30" i="4"/>
  <c r="D33" i="4"/>
  <c r="D15" i="6"/>
  <c r="E11" i="4"/>
  <c r="F20" i="2"/>
  <c r="E12" i="4"/>
  <c r="E13" i="4"/>
  <c r="E30" i="4"/>
  <c r="E33" i="4"/>
  <c r="E15" i="6"/>
  <c r="F11" i="4"/>
  <c r="G20" i="2"/>
  <c r="F12" i="4"/>
  <c r="F13" i="4"/>
  <c r="F30" i="4"/>
  <c r="F33" i="4"/>
  <c r="F15" i="6"/>
  <c r="G11" i="4"/>
  <c r="H20" i="2"/>
  <c r="G12" i="4"/>
  <c r="G13" i="4"/>
  <c r="G30" i="4"/>
  <c r="G33" i="4"/>
  <c r="G15" i="6"/>
  <c r="H11" i="4"/>
  <c r="I20" i="2"/>
  <c r="H12" i="4"/>
  <c r="H13" i="4"/>
  <c r="H30" i="4"/>
  <c r="H33" i="4"/>
  <c r="H15" i="6"/>
  <c r="I11" i="4"/>
  <c r="J20" i="2"/>
  <c r="I12" i="4"/>
  <c r="I13" i="4"/>
  <c r="I30" i="4"/>
  <c r="I33" i="4"/>
  <c r="I15" i="6"/>
  <c r="J11" i="4"/>
  <c r="K20" i="2"/>
  <c r="J12" i="4"/>
  <c r="J13" i="4"/>
  <c r="J30" i="4"/>
  <c r="J33" i="4"/>
  <c r="J15" i="6"/>
  <c r="K11" i="4"/>
  <c r="L20" i="2"/>
  <c r="K12" i="4"/>
  <c r="K13" i="4"/>
  <c r="K30" i="4"/>
  <c r="K32" i="4"/>
  <c r="K33" i="4"/>
  <c r="K15" i="6"/>
  <c r="L11" i="4"/>
  <c r="M20" i="2"/>
  <c r="L12" i="4"/>
  <c r="L13" i="4"/>
  <c r="L30" i="4"/>
  <c r="L32" i="4"/>
  <c r="L33" i="4"/>
  <c r="L15" i="6"/>
  <c r="M11" i="4"/>
  <c r="N20" i="2"/>
  <c r="M12" i="4"/>
  <c r="M13" i="4"/>
  <c r="M30" i="4"/>
  <c r="M32" i="4"/>
  <c r="M33" i="4"/>
  <c r="M15" i="6"/>
  <c r="N11" i="4"/>
  <c r="O20" i="2"/>
  <c r="N12" i="4"/>
  <c r="N13" i="4"/>
  <c r="N30" i="4"/>
  <c r="N32" i="4"/>
  <c r="N33" i="4"/>
  <c r="N15" i="6"/>
  <c r="O11" i="4"/>
  <c r="P20" i="2"/>
  <c r="O12" i="4"/>
  <c r="O13" i="4"/>
  <c r="O30" i="4"/>
  <c r="O32" i="4"/>
  <c r="O33" i="4"/>
  <c r="O15" i="6"/>
  <c r="P11" i="4"/>
  <c r="Q20" i="2"/>
  <c r="P12" i="4"/>
  <c r="P13" i="4"/>
  <c r="P30" i="4"/>
  <c r="P32" i="4"/>
  <c r="P33" i="4"/>
  <c r="P15" i="6"/>
  <c r="Q11" i="4"/>
  <c r="R20" i="2"/>
  <c r="Q12" i="4"/>
  <c r="Q13" i="4"/>
  <c r="Q30" i="4"/>
  <c r="Q32" i="4"/>
  <c r="Q33" i="4"/>
  <c r="Q15" i="6"/>
  <c r="D19" i="5"/>
  <c r="D20" i="5"/>
  <c r="D22" i="5"/>
  <c r="D16" i="6"/>
  <c r="E19" i="5"/>
  <c r="E20" i="5"/>
  <c r="E22" i="5"/>
  <c r="E16" i="6"/>
  <c r="F19" i="5"/>
  <c r="F20" i="5"/>
  <c r="F22" i="5"/>
  <c r="F16" i="6"/>
  <c r="G19" i="5"/>
  <c r="G20" i="5"/>
  <c r="G22" i="5"/>
  <c r="G16" i="6"/>
  <c r="H19" i="5"/>
  <c r="H20" i="5"/>
  <c r="H22" i="5"/>
  <c r="H16" i="6"/>
  <c r="I19" i="5"/>
  <c r="I20" i="5"/>
  <c r="I22" i="5"/>
  <c r="I16" i="6"/>
  <c r="J19" i="5"/>
  <c r="J20" i="5"/>
  <c r="J22" i="5"/>
  <c r="J16" i="6"/>
  <c r="K19" i="5"/>
  <c r="K20" i="5"/>
  <c r="K22" i="5"/>
  <c r="K16" i="6"/>
  <c r="L19" i="5"/>
  <c r="L20" i="5"/>
  <c r="L22" i="5"/>
  <c r="L16" i="6"/>
  <c r="M19" i="5"/>
  <c r="M20" i="5"/>
  <c r="M22" i="5"/>
  <c r="M16" i="6"/>
  <c r="N19" i="5"/>
  <c r="N20" i="5"/>
  <c r="N22" i="5"/>
  <c r="N16" i="6"/>
  <c r="O20" i="5"/>
  <c r="O22" i="5"/>
  <c r="O16" i="6"/>
  <c r="P20" i="5"/>
  <c r="P22" i="5"/>
  <c r="P16" i="6"/>
  <c r="Q22" i="5"/>
  <c r="Q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E11" i="3"/>
  <c r="F11" i="3"/>
  <c r="G11" i="3"/>
  <c r="H11" i="3"/>
  <c r="I11" i="3"/>
  <c r="J11" i="3"/>
  <c r="K11" i="3"/>
</calcChain>
</file>

<file path=xl/sharedStrings.xml><?xml version="1.0" encoding="utf-8"?>
<sst xmlns="http://schemas.openxmlformats.org/spreadsheetml/2006/main" count="1892" uniqueCount="959">
  <si>
    <t>Downloaded 7 may 2012</t>
  </si>
  <si>
    <t>A: Public sector, by fiscal year, calendar year, some quarterly series, 1924-1938</t>
  </si>
  <si>
    <t>B: Annual national accounts, 1925-1938</t>
  </si>
  <si>
    <t>from http://personal.lse.ac.uk/ritschl/interwargermanydata.html</t>
  </si>
  <si>
    <r>
      <t xml:space="preserve">Source:  Albrecht Ritschl (2002), </t>
    </r>
    <r>
      <rPr>
        <i/>
        <sz val="12"/>
        <color theme="1"/>
        <rFont val="Calibri"/>
        <scheme val="minor"/>
      </rPr>
      <t xml:space="preserve">Deutschlands Krise und Konjunktur. Binnenkonjunktur, Auslandsverschuldung und Reparationsproblem zwischen Dawes-Plan und Transfersperre 1924-1934, </t>
    </r>
    <r>
      <rPr>
        <sz val="12"/>
        <color theme="1"/>
        <rFont val="Calibri"/>
        <family val="2"/>
        <scheme val="minor"/>
      </rPr>
      <t>Berlin: Akademie-Verlag.</t>
    </r>
  </si>
  <si>
    <t>C1: Corrected quarterly employment series, 1925-1938</t>
  </si>
  <si>
    <t>C2: 15 other quarterly series, including output, private consumption, capital stock, money, CPI etc.</t>
  </si>
  <si>
    <t>D: Monetary base, M1, M2, and their components, revised annual data, 1924-1943</t>
  </si>
  <si>
    <t>These are the series used by Glyn to compute his factor income share series</t>
  </si>
  <si>
    <t>(A.1.12)</t>
  </si>
  <si>
    <t>(b)</t>
  </si>
  <si>
    <t>Rechnungsabschluss</t>
  </si>
  <si>
    <t>(A.1.11)</t>
  </si>
  <si>
    <t>(a)</t>
  </si>
  <si>
    <t>(A.1.10)</t>
  </si>
  <si>
    <t>Kassenausweis</t>
  </si>
  <si>
    <t>(A.1.9)</t>
  </si>
  <si>
    <r>
      <t>zum Vergleich:</t>
    </r>
    <r>
      <rPr>
        <sz val="8"/>
        <rFont val="Times New Roman"/>
        <family val="1"/>
      </rPr>
      <t xml:space="preserve">
Reparationsagent/ Gilbert (1930)</t>
    </r>
  </si>
  <si>
    <t>(A.1.8)</t>
  </si>
  <si>
    <t>Kassenüberschuss</t>
  </si>
  <si>
    <t>IV.</t>
  </si>
  <si>
    <t>(A.1.7)</t>
  </si>
  <si>
    <t>Anleihen</t>
  </si>
  <si>
    <t>III.</t>
  </si>
  <si>
    <t>(A.1.6)</t>
  </si>
  <si>
    <r>
      <t xml:space="preserve">ergibt: 
</t>
    </r>
    <r>
      <rPr>
        <b/>
        <sz val="8"/>
        <rFont val="Times New Roman"/>
        <family val="1"/>
      </rPr>
      <t xml:space="preserve">Reineinnahmen </t>
    </r>
    <r>
      <rPr>
        <sz val="8"/>
        <rFont val="Times New Roman"/>
        <family val="1"/>
      </rPr>
      <t xml:space="preserve">
(ohne Anleihen)</t>
    </r>
  </si>
  <si>
    <t xml:space="preserve">II.
</t>
  </si>
  <si>
    <t>(A.1.5)</t>
  </si>
  <si>
    <r>
      <t>Münzgewinn</t>
    </r>
    <r>
      <rPr>
        <i/>
        <sz val="8"/>
        <rFont val="Times New Roman"/>
        <family val="1"/>
      </rPr>
      <t xml:space="preserve"> </t>
    </r>
  </si>
  <si>
    <t>1337</t>
  </si>
  <si>
    <t>(A.1.4)</t>
  </si>
  <si>
    <t>Verwaltungseinnahmen</t>
  </si>
  <si>
    <t>(A.1.3)</t>
  </si>
  <si>
    <t>Erwerbseinkünfte</t>
  </si>
  <si>
    <t>(A.1.2)</t>
  </si>
  <si>
    <r>
      <t xml:space="preserve">davon gedeckt durch: </t>
    </r>
    <r>
      <rPr>
        <sz val="8"/>
        <rFont val="Times New Roman"/>
        <family val="1"/>
      </rPr>
      <t xml:space="preserve">
Steuern, Abgaben, Zölle</t>
    </r>
  </si>
  <si>
    <t>(A.1.1)</t>
  </si>
  <si>
    <t>Reiner Finanzbedarf</t>
  </si>
  <si>
    <t>I.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</si>
  <si>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</si>
  <si>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</si>
  <si>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</si>
  <si>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</si>
  <si>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</si>
  <si>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</si>
  <si>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</si>
  <si>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</si>
  <si>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</si>
  <si>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</si>
  <si>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</si>
  <si>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</si>
  <si>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</si>
  <si>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Die Einnahmen des Reiches nach Fiskaljahren 1925/26-1938/39 (Mio.RM)</t>
  </si>
  <si>
    <t>TABELLE A.1</t>
  </si>
  <si>
    <t>(A.2.8)</t>
  </si>
  <si>
    <t>III. Nettokreditnahme (+) mit 
      Arbeitsbeschaffungs- und
      Mefowechseln</t>
  </si>
  <si>
    <r>
      <t xml:space="preserve">
   </t>
    </r>
    <r>
      <rPr>
        <i/>
        <sz val="10"/>
        <rFont val="Times New Roman"/>
        <family val="1"/>
      </rPr>
      <t>ergibt gesamt:</t>
    </r>
  </si>
  <si>
    <t>(A.2.7)</t>
  </si>
  <si>
    <t>II.  Mefo-Rüstungsprogramm</t>
  </si>
  <si>
    <t>(A.2.6)</t>
  </si>
  <si>
    <r>
      <t xml:space="preserve">zum Vergleich: </t>
    </r>
    <r>
      <rPr>
        <sz val="10"/>
        <rFont val="Times New Roman"/>
        <family val="1"/>
      </rPr>
      <t xml:space="preserve">
  Erbe (1958)</t>
    </r>
  </si>
  <si>
    <t>(A.2.5)</t>
  </si>
  <si>
    <r>
      <t>ergibt:</t>
    </r>
    <r>
      <rPr>
        <sz val="10"/>
        <rFont val="Times New Roman"/>
        <family val="1"/>
      </rPr>
      <t xml:space="preserve"> 
  Nettoausgabe (+) von 
  AB-Wechseln</t>
    </r>
  </si>
  <si>
    <t>(A.2.4)</t>
  </si>
  <si>
    <r>
      <t xml:space="preserve">davon ab:
  </t>
    </r>
    <r>
      <rPr>
        <sz val="10"/>
        <rFont val="Times New Roman"/>
        <family val="1"/>
      </rPr>
      <t>Rückkauf (-)
  von Sonderwechseln
  durch das Reich</t>
    </r>
  </si>
  <si>
    <t>(A.2.3)</t>
  </si>
  <si>
    <t xml:space="preserve">  Autobahn</t>
  </si>
  <si>
    <t>(A.2.2)</t>
  </si>
  <si>
    <r>
      <t>darunter:</t>
    </r>
    <r>
      <rPr>
        <sz val="10"/>
        <rFont val="Times New Roman"/>
        <family val="1"/>
      </rPr>
      <t xml:space="preserve">
  staatlich</t>
    </r>
  </si>
  <si>
    <t>(A.2.1)</t>
  </si>
  <si>
    <t xml:space="preserve">I.  Für Arbeitsbeschaffung </t>
  </si>
  <si>
    <t>Die Begebung von Arbeitsbeschaffungs- und Rüstungswechseln nach Fiskaljahren (Mio. RM)</t>
  </si>
  <si>
    <t>TABELLE A.2</t>
  </si>
  <si>
    <t>-</t>
  </si>
  <si>
    <t>(A.3.8)</t>
  </si>
  <si>
    <r>
      <t xml:space="preserve">zum Vergleich: 
</t>
    </r>
    <r>
      <rPr>
        <sz val="8"/>
        <rFont val="Times New Roman"/>
        <family val="1"/>
      </rPr>
      <t>Erbe (1958)</t>
    </r>
  </si>
  <si>
    <t>(A.3.7)</t>
  </si>
  <si>
    <r>
      <t xml:space="preserve">ergibt: 
</t>
    </r>
    <r>
      <rPr>
        <b/>
        <sz val="8"/>
        <rFont val="Times New Roman"/>
        <family val="1"/>
      </rPr>
      <t>Nettoneuverschuldung (-) gesamt</t>
    </r>
  </si>
  <si>
    <t>V.</t>
  </si>
  <si>
    <t>ABM- und Mefokredite (-)</t>
  </si>
  <si>
    <t>(A.3.6)</t>
  </si>
  <si>
    <r>
      <t xml:space="preserve">zum Vergleich: 
</t>
    </r>
    <r>
      <rPr>
        <sz val="8"/>
        <rFont val="Times New Roman"/>
        <family val="1"/>
      </rPr>
      <t>Nettoneuverschuldung (-) 
nach dem Reichsschuldenausweis</t>
    </r>
  </si>
  <si>
    <t>(A.3.5)</t>
  </si>
  <si>
    <t>Sichtbarer Überschuss (+) /Kreditaufnahme (-)</t>
  </si>
  <si>
    <t>(A.3.4)</t>
  </si>
  <si>
    <r>
      <t>ergibt:</t>
    </r>
    <r>
      <rPr>
        <sz val="8"/>
        <rFont val="Times New Roman"/>
        <family val="1"/>
      </rPr>
      <t xml:space="preserve"> 
Tilgung gesamt</t>
    </r>
  </si>
  <si>
    <t>.</t>
  </si>
  <si>
    <t>(A.3.3)</t>
  </si>
  <si>
    <t>Tilgung von Auslandsschulden gesamt</t>
  </si>
  <si>
    <t>(A.3.3e)</t>
  </si>
  <si>
    <t>Dollar-Schätze</t>
  </si>
  <si>
    <t>(A.3.3d)</t>
  </si>
  <si>
    <t>Deutsch-amerik. Schuldenabkommen</t>
  </si>
  <si>
    <t>(A.3.3c)</t>
  </si>
  <si>
    <t>Young-Anleihe</t>
  </si>
  <si>
    <t>(A.3.3b)</t>
  </si>
  <si>
    <t>$-Agio</t>
  </si>
  <si>
    <t>(A.3.3a)</t>
  </si>
  <si>
    <r>
      <t>darunter:</t>
    </r>
    <r>
      <rPr>
        <sz val="8"/>
        <rFont val="Times New Roman"/>
        <family val="1"/>
      </rPr>
      <t xml:space="preserve"> 
Dawes-Anleihe</t>
    </r>
  </si>
  <si>
    <t>Tilgung von Auslandsschulden</t>
  </si>
  <si>
    <t>II b.</t>
  </si>
  <si>
    <t>(A.3.2)</t>
  </si>
  <si>
    <r>
      <t xml:space="preserve">ergibt: 
</t>
    </r>
    <r>
      <rPr>
        <sz val="8"/>
        <rFont val="Times New Roman"/>
        <family val="1"/>
      </rPr>
      <t>Tilgung von Inlandsschulden gesamt</t>
    </r>
  </si>
  <si>
    <t>(A.3.2f)</t>
  </si>
  <si>
    <t>ausserordtl. Tilgung der schwebenden Schuld</t>
  </si>
  <si>
    <t>(A.3.2e)</t>
  </si>
  <si>
    <t>Rückkauf</t>
  </si>
  <si>
    <t>(A.3.2d)</t>
  </si>
  <si>
    <t>Tilgungsfonds</t>
  </si>
  <si>
    <t>(A.3.2c)</t>
  </si>
  <si>
    <t>Reichsbank</t>
  </si>
  <si>
    <t>(A.3.2b)</t>
  </si>
  <si>
    <t>Rentenbank</t>
  </si>
  <si>
    <t>(A.3.2a)</t>
  </si>
  <si>
    <r>
      <t xml:space="preserve">darunter: 
</t>
    </r>
    <r>
      <rPr>
        <sz val="8"/>
        <rFont val="Times New Roman"/>
        <family val="1"/>
      </rPr>
      <t>Markanleihen</t>
    </r>
  </si>
  <si>
    <t>Tilgung von Inlandsschulden</t>
  </si>
  <si>
    <t>II a.</t>
  </si>
  <si>
    <t>(A.3.1)</t>
  </si>
  <si>
    <r>
      <t xml:space="preserve">ergibt: </t>
    </r>
    <r>
      <rPr>
        <sz val="8"/>
        <rFont val="Times New Roman"/>
        <family val="1"/>
      </rPr>
      <t xml:space="preserve">
Sichtbare Bruttoneuverschuldung (-)</t>
    </r>
  </si>
  <si>
    <t>Kassenüberschuss(+)/ -defizit(-)</t>
  </si>
  <si>
    <t>Anleihen (-)</t>
  </si>
  <si>
    <t>Verschuldung (-)</t>
  </si>
  <si>
    <t>Die Nettokreditaufnahme des Reiches nach Fiskaljahren 1925/26-1938/39 (Mio. RM)</t>
  </si>
  <si>
    <t>TABELLE A.3</t>
  </si>
  <si>
    <t>(A.4.5)</t>
  </si>
  <si>
    <r>
      <t xml:space="preserve">ergibt: </t>
    </r>
    <r>
      <rPr>
        <sz val="8"/>
        <rFont val="Times New Roman"/>
        <family val="1"/>
      </rPr>
      <t xml:space="preserve">
</t>
    </r>
    <r>
      <rPr>
        <b/>
        <sz val="8"/>
        <rFont val="Times New Roman"/>
        <family val="1"/>
      </rPr>
      <t>Zinsen gesamt</t>
    </r>
  </si>
  <si>
    <t>(A.4.4)</t>
  </si>
  <si>
    <t>Zinsen auf ABM- und Mefokredite</t>
  </si>
  <si>
    <t>(A.4.3)</t>
  </si>
  <si>
    <r>
      <t>ergibt:</t>
    </r>
    <r>
      <rPr>
        <sz val="8"/>
        <rFont val="Times New Roman"/>
        <family val="1"/>
      </rPr>
      <t xml:space="preserve"> 
Zinsen im Reichshaushalt gesamt</t>
    </r>
  </si>
  <si>
    <t>(A.4.2)</t>
  </si>
  <si>
    <r>
      <t xml:space="preserve">ergibt: 
</t>
    </r>
    <r>
      <rPr>
        <sz val="8"/>
        <rFont val="Times New Roman"/>
        <family val="1"/>
      </rPr>
      <t>Zinsen auf Kriegslastenkonto gesamt</t>
    </r>
  </si>
  <si>
    <t xml:space="preserve">   </t>
  </si>
  <si>
    <t xml:space="preserve">    </t>
  </si>
  <si>
    <t>(A.4.2c)</t>
  </si>
  <si>
    <t>sonstige</t>
  </si>
  <si>
    <t>(A.4.2b)</t>
  </si>
  <si>
    <t>(A.4.2a)</t>
  </si>
  <si>
    <r>
      <t xml:space="preserve">darunter: 
</t>
    </r>
    <r>
      <rPr>
        <sz val="8"/>
        <rFont val="Times New Roman"/>
        <family val="1"/>
      </rPr>
      <t>Dawes-Anleihe</t>
    </r>
  </si>
  <si>
    <t>Zinsen auf Kriegslastenkonto</t>
  </si>
  <si>
    <t>II.</t>
  </si>
  <si>
    <t>(A.4.1)</t>
  </si>
  <si>
    <r>
      <t xml:space="preserve">ergibt: 
</t>
    </r>
    <r>
      <rPr>
        <sz val="8"/>
        <rFont val="Times New Roman"/>
        <family val="1"/>
      </rPr>
      <t>"</t>
    </r>
    <r>
      <rPr>
        <i/>
        <sz val="8"/>
        <rFont val="Times New Roman"/>
        <family val="1"/>
      </rPr>
      <t>A</t>
    </r>
    <r>
      <rPr>
        <sz val="8"/>
        <rFont val="Times New Roman"/>
        <family val="1"/>
      </rPr>
      <t>usgewiesene Zinsen" gesamt</t>
    </r>
  </si>
  <si>
    <t>(A.4.1d)</t>
  </si>
  <si>
    <t xml:space="preserve">  Reichsbank</t>
  </si>
  <si>
    <t>(A.4.1c)</t>
  </si>
  <si>
    <t xml:space="preserve">  Betriebsmittel</t>
  </si>
  <si>
    <t>(A.4.1b)</t>
  </si>
  <si>
    <t xml:space="preserve">  Reichsanleihen</t>
  </si>
  <si>
    <t>(A.4.1a)</t>
  </si>
  <si>
    <r>
      <t xml:space="preserve">darunter:
  </t>
    </r>
    <r>
      <rPr>
        <sz val="8"/>
        <rFont val="Times New Roman"/>
        <family val="1"/>
      </rPr>
      <t>Markanleihen</t>
    </r>
  </si>
  <si>
    <t>Ausgewiesene Zinsen</t>
  </si>
  <si>
    <t>Der Zinsendienst auf die Schulden des Reiches nach Rechnungsjahren, 1925-1938 (Mio. RM)</t>
  </si>
  <si>
    <t>TABELLE A.4</t>
  </si>
  <si>
    <t>(A.5.2)</t>
  </si>
  <si>
    <r>
      <t>ergibt:</t>
    </r>
    <r>
      <rPr>
        <sz val="8"/>
        <rFont val="Times New Roman"/>
        <family val="1"/>
      </rPr>
      <t xml:space="preserve">
primäres Defizit (-)</t>
    </r>
  </si>
  <si>
    <r>
      <t>abzüglich:</t>
    </r>
    <r>
      <rPr>
        <sz val="8"/>
        <rFont val="Times New Roman"/>
        <family val="1"/>
      </rPr>
      <t xml:space="preserve">  
Zinsen</t>
    </r>
  </si>
  <si>
    <r>
      <t xml:space="preserve">ergibt: </t>
    </r>
    <r>
      <rPr>
        <sz val="8"/>
        <rFont val="Times New Roman"/>
        <family val="1"/>
      </rPr>
      <t xml:space="preserve">
</t>
    </r>
    <r>
      <rPr>
        <b/>
        <sz val="8"/>
        <rFont val="Times New Roman"/>
        <family val="1"/>
      </rPr>
      <t>Überschuss (+) / 
Nettokreditaufnahme (-)</t>
    </r>
  </si>
  <si>
    <t xml:space="preserve">III.
</t>
  </si>
  <si>
    <r>
      <t>zuzüglich:</t>
    </r>
    <r>
      <rPr>
        <sz val="8"/>
        <rFont val="Times New Roman"/>
        <family val="1"/>
      </rPr>
      <t xml:space="preserve"> 
Einnahmen aus Steuern, 
Vermögen, Gebühren usw.</t>
    </r>
  </si>
  <si>
    <t>(A.5.1)</t>
  </si>
  <si>
    <r>
      <t>ergibt:</t>
    </r>
    <r>
      <rPr>
        <sz val="8"/>
        <rFont val="Times New Roman"/>
        <family val="1"/>
      </rPr>
      <t xml:space="preserve"> 
  </t>
    </r>
    <r>
      <rPr>
        <b/>
        <sz val="8"/>
        <rFont val="Times New Roman"/>
        <family val="1"/>
      </rPr>
      <t>Sachausgaben und Transfers</t>
    </r>
  </si>
  <si>
    <r>
      <t xml:space="preserve">abzüglich: </t>
    </r>
    <r>
      <rPr>
        <sz val="8"/>
        <rFont val="Times New Roman"/>
        <family val="1"/>
      </rPr>
      <t xml:space="preserve">
Tilgung</t>
    </r>
  </si>
  <si>
    <r>
      <t>zuzüglich:</t>
    </r>
    <r>
      <rPr>
        <sz val="8"/>
        <rFont val="Times New Roman"/>
        <family val="1"/>
      </rPr>
      <t xml:space="preserve"> 
Arbeitsbeschaffungs- 
und Mefowechsel</t>
    </r>
  </si>
  <si>
    <t>Ausgaben (Reiner Finanzbedarf)</t>
  </si>
  <si>
    <t>Die Ausgaben, Einnahmen und das Defizit des Reichshaushalts nach Fiskaljahren 1925/26-1938/39 (Mio. RM)</t>
  </si>
  <si>
    <t>TABELLE A.5</t>
  </si>
  <si>
    <t>(Fortsetzung)</t>
  </si>
  <si>
    <t>I/39</t>
  </si>
  <si>
    <t xml:space="preserve">        </t>
  </si>
  <si>
    <t>IV/38</t>
  </si>
  <si>
    <t>III/38</t>
  </si>
  <si>
    <t>II/38</t>
  </si>
  <si>
    <t xml:space="preserve">1938:1  </t>
  </si>
  <si>
    <t>I/38</t>
  </si>
  <si>
    <t>IV/37</t>
  </si>
  <si>
    <t>III/37</t>
  </si>
  <si>
    <t>II/37</t>
  </si>
  <si>
    <t xml:space="preserve">1937:1  </t>
  </si>
  <si>
    <t>I/37</t>
  </si>
  <si>
    <t>IV/36</t>
  </si>
  <si>
    <t>III/36</t>
  </si>
  <si>
    <t>II/36</t>
  </si>
  <si>
    <t xml:space="preserve">1936:1  </t>
  </si>
  <si>
    <t>I/36</t>
  </si>
  <si>
    <t>IV/35</t>
  </si>
  <si>
    <t>III/35</t>
  </si>
  <si>
    <t>II/35</t>
  </si>
  <si>
    <t xml:space="preserve">1935:1  </t>
  </si>
  <si>
    <t>I/35</t>
  </si>
  <si>
    <t>IV/34</t>
  </si>
  <si>
    <t>III/34</t>
  </si>
  <si>
    <t>II/34</t>
  </si>
  <si>
    <t xml:space="preserve">1934:1  </t>
  </si>
  <si>
    <t>I/34</t>
  </si>
  <si>
    <t>IV/33</t>
  </si>
  <si>
    <t>III/33</t>
  </si>
  <si>
    <t>II/33</t>
  </si>
  <si>
    <t xml:space="preserve">1933:1  </t>
  </si>
  <si>
    <t>I/33</t>
  </si>
  <si>
    <t>IV/32</t>
  </si>
  <si>
    <t>III/32</t>
  </si>
  <si>
    <t>II/32</t>
  </si>
  <si>
    <t xml:space="preserve">1932:1  </t>
  </si>
  <si>
    <t>I/32</t>
  </si>
  <si>
    <t>IV/31</t>
  </si>
  <si>
    <t>III/31</t>
  </si>
  <si>
    <t>II/31</t>
  </si>
  <si>
    <t xml:space="preserve">1931:1  </t>
  </si>
  <si>
    <t>I/31</t>
  </si>
  <si>
    <t>IV/30</t>
  </si>
  <si>
    <t>III/30</t>
  </si>
  <si>
    <t>II/30</t>
  </si>
  <si>
    <t xml:space="preserve">1930:1  </t>
  </si>
  <si>
    <t>I/30</t>
  </si>
  <si>
    <t>IV/29</t>
  </si>
  <si>
    <t>III/29</t>
  </si>
  <si>
    <t>II/29</t>
  </si>
  <si>
    <t xml:space="preserve">1929:1  </t>
  </si>
  <si>
    <t>I/29</t>
  </si>
  <si>
    <t>IV/28</t>
  </si>
  <si>
    <t>III/28</t>
  </si>
  <si>
    <t>II/28</t>
  </si>
  <si>
    <t xml:space="preserve">1928:1  </t>
  </si>
  <si>
    <t>I/28</t>
  </si>
  <si>
    <t>IV/27</t>
  </si>
  <si>
    <t>III/27</t>
  </si>
  <si>
    <t>II/27</t>
  </si>
  <si>
    <t xml:space="preserve">1927:1  </t>
  </si>
  <si>
    <t>I/27</t>
  </si>
  <si>
    <t>IV/26</t>
  </si>
  <si>
    <t>III/26</t>
  </si>
  <si>
    <t>II/26</t>
  </si>
  <si>
    <t xml:space="preserve">1926:1  </t>
  </si>
  <si>
    <t>I/26</t>
  </si>
  <si>
    <t>IV/25</t>
  </si>
  <si>
    <t>III/25</t>
  </si>
  <si>
    <t>II/25</t>
  </si>
  <si>
    <t xml:space="preserve">1925:1  </t>
  </si>
  <si>
    <t>I/25</t>
  </si>
  <si>
    <t>IV/24</t>
  </si>
  <si>
    <t>III/24</t>
  </si>
  <si>
    <t>II/24</t>
  </si>
  <si>
    <t xml:space="preserve">1924:1  </t>
  </si>
  <si>
    <t>I/24</t>
  </si>
  <si>
    <t>(A.6.36)</t>
  </si>
  <si>
    <t>(A.6.35)</t>
  </si>
  <si>
    <t>(A.6.34)</t>
  </si>
  <si>
    <t>(A.6.33)</t>
  </si>
  <si>
    <t>(A.6.32)</t>
  </si>
  <si>
    <t>(A.6.31)</t>
  </si>
  <si>
    <t>(A.6.30)</t>
  </si>
  <si>
    <t>(A.6.29)</t>
  </si>
  <si>
    <t>(A.6.28)</t>
  </si>
  <si>
    <t>(A.6.27)</t>
  </si>
  <si>
    <t>(A.6.26)</t>
  </si>
  <si>
    <t>(A.6.25)</t>
  </si>
  <si>
    <t>(A.6.24)</t>
  </si>
  <si>
    <t>(A.6.23)</t>
  </si>
  <si>
    <t>(A.6.22)</t>
  </si>
  <si>
    <t>(A.6.21)</t>
  </si>
  <si>
    <t>(A.6.20)</t>
  </si>
  <si>
    <t>(A.6.19)</t>
  </si>
  <si>
    <t>(A.6.18)</t>
  </si>
  <si>
    <t>(A.6.17)</t>
  </si>
  <si>
    <t>(A.6.16)</t>
  </si>
  <si>
    <t>(A.6.15)</t>
  </si>
  <si>
    <t>(A.6.14)</t>
  </si>
  <si>
    <t>(A.6.13)</t>
  </si>
  <si>
    <t>(A.6.12)</t>
  </si>
  <si>
    <t>(A.6.11)</t>
  </si>
  <si>
    <t>(A.6.10)</t>
  </si>
  <si>
    <t>(A.6.9)</t>
  </si>
  <si>
    <t>(A.6.8)</t>
  </si>
  <si>
    <t>(A.6.7)</t>
  </si>
  <si>
    <t>(A.6.6)</t>
  </si>
  <si>
    <t>(A.6.5)</t>
  </si>
  <si>
    <t>(A.6.4)</t>
  </si>
  <si>
    <t>(A.6.3)</t>
  </si>
  <si>
    <t>(A.6.2)</t>
  </si>
  <si>
    <t>(A.6.1)</t>
  </si>
  <si>
    <t>kj./fskj.</t>
  </si>
  <si>
    <t>vj.</t>
  </si>
  <si>
    <t>betrag</t>
  </si>
  <si>
    <t>fskj.HHR</t>
  </si>
  <si>
    <t>Kal_jahr</t>
  </si>
  <si>
    <t>Fsk_jahr</t>
  </si>
  <si>
    <t>Ausg.</t>
  </si>
  <si>
    <t>fskj.</t>
  </si>
  <si>
    <t>kj.-fskj.</t>
  </si>
  <si>
    <t>kj.</t>
  </si>
  <si>
    <t>korrigiert</t>
  </si>
  <si>
    <t>Korr.-</t>
  </si>
  <si>
    <t>Kasse</t>
  </si>
  <si>
    <t>Summe</t>
  </si>
  <si>
    <t>verr.</t>
  </si>
  <si>
    <t>Korrekt.-</t>
  </si>
  <si>
    <t>rechnung</t>
  </si>
  <si>
    <t>Haushaltsrechnung</t>
  </si>
  <si>
    <t>Haushalts-</t>
  </si>
  <si>
    <r>
      <t>ergibt zusammen</t>
    </r>
    <r>
      <rPr>
        <b/>
        <sz val="7"/>
        <rFont val="Times New Roman"/>
        <family val="1"/>
      </rPr>
      <t>: Eigene Ausgaben</t>
    </r>
  </si>
  <si>
    <t>Einnahme (+) aus Kassendefizit</t>
  </si>
  <si>
    <t>Anleihe</t>
  </si>
  <si>
    <t>Sonstige Einnahmen</t>
  </si>
  <si>
    <t>i.w.S.</t>
  </si>
  <si>
    <t>Reichsbahn</t>
  </si>
  <si>
    <t>netto</t>
  </si>
  <si>
    <t>Steuergutscheinen</t>
  </si>
  <si>
    <t>Steuerüberweisungen</t>
  </si>
  <si>
    <t>Steuereingänge</t>
  </si>
  <si>
    <t>ergibt: Steuern</t>
  </si>
  <si>
    <t>Beitrag der</t>
  </si>
  <si>
    <t>Steuern</t>
  </si>
  <si>
    <t>Einlösung von</t>
  </si>
  <si>
    <t>Die vierteljährlichen Einnahmen und Ausgaben des Reiches 1925-1938 (Mio. RM)</t>
  </si>
  <si>
    <t>TABELLE A.6</t>
  </si>
  <si>
    <t>kursiv gesetzte Ziffern: eigene Schätzung</t>
  </si>
  <si>
    <t xml:space="preserve">  </t>
  </si>
  <si>
    <t>(A.7.13)</t>
  </si>
  <si>
    <t>(A.7.12)</t>
  </si>
  <si>
    <t>(A.7.11)</t>
  </si>
  <si>
    <t>(A.7.10)</t>
  </si>
  <si>
    <t>(A.7.9)</t>
  </si>
  <si>
    <t>(A.7.8)</t>
  </si>
  <si>
    <t>(A.7.7)</t>
  </si>
  <si>
    <t>(A.7.6)</t>
  </si>
  <si>
    <t>(A.7.5)</t>
  </si>
  <si>
    <t>(A.7.4)</t>
  </si>
  <si>
    <t>(A.7.3)</t>
  </si>
  <si>
    <t>(A.7.2)</t>
  </si>
  <si>
    <t>(A.7.1)</t>
  </si>
  <si>
    <t>Nettoumlauf</t>
  </si>
  <si>
    <t>zurückgekauft</t>
  </si>
  <si>
    <t>Zunahme</t>
  </si>
  <si>
    <t>Wechsel ges.</t>
  </si>
  <si>
    <t>Mefo+AB</t>
  </si>
  <si>
    <t>Reich ges.</t>
  </si>
  <si>
    <t>Dego-Solawechsel</t>
  </si>
  <si>
    <t>Zinsgutscheine</t>
  </si>
  <si>
    <t>Reichspost</t>
  </si>
  <si>
    <t>Reich (AB)</t>
  </si>
  <si>
    <t>Mefo</t>
  </si>
  <si>
    <t>Berechnung des Nettoumlaufs</t>
  </si>
  <si>
    <t>Schätzungen des Gesamtumlaufs</t>
  </si>
  <si>
    <t>Rbk.-Deckungswechsel</t>
  </si>
  <si>
    <t>Umlauf von Sonderwechseln</t>
  </si>
  <si>
    <t xml:space="preserve"> </t>
  </si>
  <si>
    <t>Der vierteljährliche Umlauf von Arbeitsbeschaffungs- und Mefowechseln 1932-1939 (Mio. RM)</t>
  </si>
  <si>
    <t>TABELLE A.7</t>
  </si>
  <si>
    <t>(A.8.8)</t>
  </si>
  <si>
    <t>(A.8.7)</t>
  </si>
  <si>
    <t>(A.8.6)</t>
  </si>
  <si>
    <t>(A.8.5)</t>
  </si>
  <si>
    <t>(A.8.4)</t>
  </si>
  <si>
    <t>(A.8.3)</t>
  </si>
  <si>
    <t>(A.8.2)</t>
  </si>
  <si>
    <t>(A.8.1)</t>
  </si>
  <si>
    <t>Kj.</t>
  </si>
  <si>
    <t>ges.</t>
  </si>
  <si>
    <t>wechsel</t>
  </si>
  <si>
    <t>Haushalt</t>
  </si>
  <si>
    <t>Tilgung</t>
  </si>
  <si>
    <t>Inlandszins</t>
  </si>
  <si>
    <t>Zins</t>
  </si>
  <si>
    <t>auf Sonder-</t>
  </si>
  <si>
    <t>im</t>
  </si>
  <si>
    <t>davon: Inlandszinsen</t>
  </si>
  <si>
    <t>Zinszahlungen insgesamt</t>
  </si>
  <si>
    <t>TABELLE A.8 (Fortsetzung)</t>
  </si>
  <si>
    <r>
      <t>davon: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Inlandszinsen</t>
    </r>
  </si>
  <si>
    <t>Die geschätzten vierteljährlichen Zins- und Tilgungszahlungen des Reiches 1925-1929</t>
  </si>
  <si>
    <t>TABELLE A.8</t>
  </si>
  <si>
    <t>(A.9.4)</t>
  </si>
  <si>
    <t>Nettoneuverschuldung (-) des Reiches</t>
  </si>
  <si>
    <t>Finanzierung</t>
  </si>
  <si>
    <t>(A.9.3)</t>
  </si>
  <si>
    <r>
      <t xml:space="preserve">ergibt:
</t>
    </r>
    <r>
      <rPr>
        <sz val="8"/>
        <rFont val="Times New Roman"/>
        <family val="1"/>
      </rPr>
      <t>Sachausgaben und Transfers des Reiches</t>
    </r>
  </si>
  <si>
    <r>
      <t>abzüglich:</t>
    </r>
    <r>
      <rPr>
        <sz val="8"/>
        <rFont val="Times New Roman"/>
        <family val="1"/>
      </rPr>
      <t xml:space="preserve"> 
Tilgung</t>
    </r>
  </si>
  <si>
    <t>(A.9.2)</t>
  </si>
  <si>
    <r>
      <t>ergibt:</t>
    </r>
    <r>
      <rPr>
        <sz val="8"/>
        <rFont val="Times New Roman"/>
        <family val="1"/>
      </rPr>
      <t xml:space="preserve"> 
Ausgaben gesamt 
(tatsächlicher "Reiner Finanzbedarf")</t>
    </r>
  </si>
  <si>
    <r>
      <t xml:space="preserve">zuzüglich: </t>
    </r>
    <r>
      <rPr>
        <sz val="8"/>
        <rFont val="Times New Roman"/>
        <family val="1"/>
      </rPr>
      <t xml:space="preserve">
Nettoausgabe von Sonderwechseln</t>
    </r>
  </si>
  <si>
    <r>
      <t xml:space="preserve">im Budget:
</t>
    </r>
    <r>
      <rPr>
        <sz val="8"/>
        <rFont val="Times New Roman"/>
        <family val="1"/>
      </rPr>
      <t>Reiner Finanzbedarf</t>
    </r>
  </si>
  <si>
    <t>Ausgaben</t>
  </si>
  <si>
    <t>(A.9.1)</t>
  </si>
  <si>
    <r>
      <t xml:space="preserve">ergibt: 
</t>
    </r>
    <r>
      <rPr>
        <sz val="8"/>
        <rFont val="Times New Roman"/>
        <family val="1"/>
      </rPr>
      <t>Einnahmen aus Steuern, Vermögen etc.</t>
    </r>
  </si>
  <si>
    <t>aus Erwerb, Vermögen etc.</t>
  </si>
  <si>
    <r>
      <t xml:space="preserve">darunter: 
</t>
    </r>
    <r>
      <rPr>
        <sz val="8"/>
        <rFont val="Times New Roman"/>
        <family val="1"/>
      </rPr>
      <t>aus Steuern</t>
    </r>
  </si>
  <si>
    <t>Einnahmen</t>
  </si>
  <si>
    <t>Die Ausgaben und Einnahmen des Reiches nach Kalenderjahren 1924-1938 (Mio. RM)</t>
  </si>
  <si>
    <t>TABELLE A.9</t>
  </si>
  <si>
    <t>(A.10.10)</t>
  </si>
  <si>
    <r>
      <t>Finanzierungssaldo</t>
    </r>
    <r>
      <rPr>
        <sz val="8"/>
        <rFont val="Times New Roman"/>
        <family val="1"/>
      </rPr>
      <t xml:space="preserve">
(Nettoüberschuß + /
 Nettoneuverschuldung - )</t>
    </r>
  </si>
  <si>
    <r>
      <t>VII.</t>
    </r>
    <r>
      <rPr>
        <sz val="8"/>
        <rFont val="Times New Roman"/>
        <family val="1"/>
      </rPr>
      <t xml:space="preserve">
</t>
    </r>
  </si>
  <si>
    <t>(A.10.9)</t>
  </si>
  <si>
    <t>Einnahmen gesamt</t>
  </si>
  <si>
    <t>(A.10.8)</t>
  </si>
  <si>
    <t>Erwerbs und Vermögenseinnahmen</t>
  </si>
  <si>
    <t>(A.10.7)</t>
  </si>
  <si>
    <t>Steuern gesamt</t>
  </si>
  <si>
    <t>(A.10.7c)</t>
  </si>
  <si>
    <t>Hansestädte</t>
  </si>
  <si>
    <t>(A.10.7b)</t>
  </si>
  <si>
    <t>Gemeinden</t>
  </si>
  <si>
    <t>(A.10.7a)</t>
  </si>
  <si>
    <t>Steuern 
Länder</t>
  </si>
  <si>
    <r>
      <t>Einnahmen</t>
    </r>
    <r>
      <rPr>
        <i/>
        <sz val="8"/>
        <color indexed="8"/>
        <rFont val="Times New Roman"/>
        <family val="1"/>
      </rPr>
      <t/>
    </r>
  </si>
  <si>
    <t>VI.</t>
  </si>
  <si>
    <t>(A.10.6)</t>
  </si>
  <si>
    <t>Kassenüberschuß (+) gesamt</t>
  </si>
  <si>
    <t>(A.10.6c)</t>
  </si>
  <si>
    <t>(A.10.6b)</t>
  </si>
  <si>
    <t>(A.10.6a)</t>
  </si>
  <si>
    <t>Länder</t>
  </si>
  <si>
    <t>Kassenüberschuß (+) / - defizit (-)</t>
  </si>
  <si>
    <t>(A.10.5)</t>
  </si>
  <si>
    <t>Anleiheaufnahme gesamt</t>
  </si>
  <si>
    <t>(A.10.5c)</t>
  </si>
  <si>
    <t>(A.10.5b)</t>
  </si>
  <si>
    <t>(A.10.5a)</t>
  </si>
  <si>
    <t>Anleiheaufnahme</t>
  </si>
  <si>
    <t>(A.10.4)</t>
  </si>
  <si>
    <r>
      <t>darunter:</t>
    </r>
    <r>
      <rPr>
        <sz val="8"/>
        <rFont val="Times New Roman"/>
        <family val="1"/>
      </rPr>
      <t xml:space="preserve"> 
Zinsen</t>
    </r>
  </si>
  <si>
    <t>(A.10.3)</t>
  </si>
  <si>
    <t>Sachausgaben und Transfers gesamt</t>
  </si>
  <si>
    <t>(A.10.2)</t>
  </si>
  <si>
    <t>Tilgung gesamt</t>
  </si>
  <si>
    <t>(A.10.2c)</t>
  </si>
  <si>
    <t>(A.10.2b)</t>
  </si>
  <si>
    <t>(A.10.2a)</t>
  </si>
  <si>
    <t>Tilgungen</t>
  </si>
  <si>
    <t>(A.10.1)</t>
  </si>
  <si>
    <r>
      <t>ergibt:</t>
    </r>
    <r>
      <rPr>
        <sz val="8"/>
        <rFont val="Times New Roman"/>
        <family val="1"/>
      </rPr>
      <t xml:space="preserve"> 
"Reiner Finanzbedarf" zusammen</t>
    </r>
  </si>
  <si>
    <t>(A.10.1c)</t>
  </si>
  <si>
    <t>(A.10.1b)</t>
  </si>
  <si>
    <t>(A.10.1a)</t>
  </si>
  <si>
    <t>Die Ausgaben und Einnahmen von Ländern und Gemeinden nach Rechnungsjahren 1925-1938 (Mio. RM)</t>
  </si>
  <si>
    <t>TABELLE A.10</t>
  </si>
  <si>
    <t>(A.11.8)</t>
  </si>
  <si>
    <r>
      <t xml:space="preserve"> ergibt:</t>
    </r>
    <r>
      <rPr>
        <sz val="8"/>
        <rFont val="Times New Roman"/>
        <family val="1"/>
      </rPr>
      <t xml:space="preserve"> 
</t>
    </r>
    <r>
      <rPr>
        <b/>
        <sz val="8"/>
        <rFont val="Times New Roman"/>
        <family val="1"/>
      </rPr>
      <t>Nettoneuverschuldung 
der Gebietskörperschaften</t>
    </r>
  </si>
  <si>
    <t xml:space="preserve">V.
 </t>
  </si>
  <si>
    <t>(A.11.7)</t>
  </si>
  <si>
    <r>
      <t xml:space="preserve">ergibt: 
</t>
    </r>
    <r>
      <rPr>
        <sz val="8"/>
        <rFont val="Times New Roman"/>
        <family val="1"/>
      </rPr>
      <t>Vermögens- und Erwerbseinnahmen gesamt</t>
    </r>
  </si>
  <si>
    <t>Länder, Gemeinden, Hansestädte</t>
  </si>
  <si>
    <t>(A.11.6)</t>
  </si>
  <si>
    <t>Reich</t>
  </si>
  <si>
    <t>(b) Vermögens- und Erwerbseinnahmen</t>
  </si>
  <si>
    <t>(A.11.5)</t>
  </si>
  <si>
    <r>
      <t>ergibt:</t>
    </r>
    <r>
      <rPr>
        <sz val="8"/>
        <rFont val="Times New Roman"/>
        <family val="1"/>
      </rPr>
      <t xml:space="preserve"> 
Steuern gesamt</t>
    </r>
  </si>
  <si>
    <t>(a) Steuern:</t>
  </si>
  <si>
    <r>
      <t>davon ab:</t>
    </r>
    <r>
      <rPr>
        <sz val="8"/>
        <rFont val="Times New Roman"/>
        <family val="1"/>
      </rPr>
      <t xml:space="preserve"> 
</t>
    </r>
    <r>
      <rPr>
        <b/>
        <sz val="8"/>
        <rFont val="Times New Roman"/>
        <family val="1"/>
      </rPr>
      <t>Einnahmen</t>
    </r>
  </si>
  <si>
    <r>
      <t xml:space="preserve">IV. </t>
    </r>
    <r>
      <rPr>
        <i/>
        <sz val="8"/>
        <rFont val="Times New Roman"/>
        <family val="1"/>
      </rPr>
      <t/>
    </r>
  </si>
  <si>
    <t>(A.11.4)</t>
  </si>
  <si>
    <r>
      <t>ergibt:</t>
    </r>
    <r>
      <rPr>
        <sz val="8"/>
        <rFont val="Times New Roman"/>
        <family val="1"/>
      </rPr>
      <t xml:space="preserve"> 
</t>
    </r>
    <r>
      <rPr>
        <b/>
        <sz val="8"/>
        <rFont val="Times New Roman"/>
        <family val="1"/>
      </rPr>
      <t>Sachausgaben und Transfers 
der Gebietskörperschaften</t>
    </r>
  </si>
  <si>
    <r>
      <t xml:space="preserve">III. </t>
    </r>
    <r>
      <rPr>
        <i/>
        <sz val="8"/>
        <rFont val="Times New Roman"/>
        <family val="1"/>
      </rPr>
      <t/>
    </r>
  </si>
  <si>
    <t>(A.11.3)</t>
  </si>
  <si>
    <r>
      <t xml:space="preserve">ergibt: 
</t>
    </r>
    <r>
      <rPr>
        <sz val="8"/>
        <rFont val="Times New Roman"/>
        <family val="1"/>
      </rPr>
      <t>Tilgung gesamt</t>
    </r>
  </si>
  <si>
    <r>
      <t xml:space="preserve">davon ab: </t>
    </r>
    <r>
      <rPr>
        <sz val="8"/>
        <rFont val="Times New Roman"/>
        <family val="1"/>
      </rPr>
      <t xml:space="preserve">
</t>
    </r>
    <r>
      <rPr>
        <b/>
        <sz val="8"/>
        <rFont val="Times New Roman"/>
        <family val="1"/>
      </rPr>
      <t>Tilgungen</t>
    </r>
  </si>
  <si>
    <r>
      <t xml:space="preserve">II.  </t>
    </r>
    <r>
      <rPr>
        <i/>
        <sz val="8"/>
        <rFont val="Times New Roman"/>
        <family val="1"/>
      </rPr>
      <t/>
    </r>
  </si>
  <si>
    <t>(A.11.2)</t>
  </si>
  <si>
    <r>
      <t>ergibt:</t>
    </r>
    <r>
      <rPr>
        <sz val="8"/>
        <rFont val="Times New Roman"/>
        <family val="1"/>
      </rPr>
      <t xml:space="preserve"> 
"tatsächlicher reiner Finanzbedarf" der Gebietskörperschaften</t>
    </r>
  </si>
  <si>
    <r>
      <t>zuzüglich:</t>
    </r>
    <r>
      <rPr>
        <sz val="8"/>
        <rFont val="Times New Roman"/>
        <family val="1"/>
      </rPr>
      <t xml:space="preserve"> 
ABM- und Mefowechsel</t>
    </r>
  </si>
  <si>
    <t>(A.11.1)</t>
  </si>
  <si>
    <r>
      <t>ergibt:</t>
    </r>
    <r>
      <rPr>
        <sz val="8"/>
        <rFont val="Times New Roman"/>
        <family val="1"/>
      </rPr>
      <t xml:space="preserve"> 
"Reiner Finanzbedarf" der Gebietskörperschaften</t>
    </r>
  </si>
  <si>
    <t>Die Ausgaben und Einnahmen von Reich, Ländern und Gemeinden nach Rechnungsjahren 1925-1938 (Mio. RM)</t>
  </si>
  <si>
    <t>TABELLE A.11</t>
  </si>
  <si>
    <t>= (A.12.17)</t>
  </si>
  <si>
    <t>Beitraege z. SozV</t>
  </si>
  <si>
    <t>Beitraege z. ALV</t>
  </si>
  <si>
    <t>(A.12.20b)</t>
  </si>
  <si>
    <t>Einnahmen Soz.Ver. n. Abzügen</t>
  </si>
  <si>
    <t>Von der RA f. ALVV</t>
  </si>
  <si>
    <t>Sozialversicherung n.St.Jbe.f.dt.R.                   Zinsen und sonstige Einnahmen</t>
  </si>
  <si>
    <t>Länderrat (1949), Abs. Versicherungswesen, "Die Finanzen der Sozialversicherung 1930-1940", Verwaltungskosten, S. 537.</t>
  </si>
  <si>
    <t>(A.13.19)</t>
  </si>
  <si>
    <t>Sozialversicherung-Ausgaben (Länderrat, 1949)</t>
  </si>
  <si>
    <t>(A.12.3b)</t>
  </si>
  <si>
    <t>Ausgaben der Sozialversicherung gesamt</t>
  </si>
  <si>
    <t>Reichszuschuss und -beitrag</t>
  </si>
  <si>
    <t>Gesamtausgaben</t>
  </si>
  <si>
    <t>Sozialversicherung:</t>
  </si>
  <si>
    <t>(A.12.20a)</t>
  </si>
  <si>
    <t>Arbeitslosenversicherungseinnahmen</t>
  </si>
  <si>
    <t>Abgabe zur Arbeitslosenhilfe</t>
  </si>
  <si>
    <t>davon Beiträge</t>
  </si>
  <si>
    <t>Eigene Einnahmen insgesamt</t>
  </si>
  <si>
    <t>versteckte Reichszusch.</t>
  </si>
  <si>
    <t>Ausgaben der Arbeitslosenversicherung</t>
  </si>
  <si>
    <t>Ablieferungen an das Reich</t>
  </si>
  <si>
    <t>Ausgaben insgesamt</t>
  </si>
  <si>
    <t>davon: Zuschuesse an die SozV(Mio.RM)</t>
  </si>
  <si>
    <t>Arbeitslosenversicherung</t>
  </si>
  <si>
    <t>(A.12.19)</t>
  </si>
  <si>
    <t>Vermögens u. Erwerbseinnahmen n. Kalenderjahren</t>
  </si>
  <si>
    <t>logarithmische Interpolation</t>
  </si>
  <si>
    <t>Verm_ &amp; Erwe_einnahmen LGH
n. Rechnungsjahren</t>
  </si>
  <si>
    <t>Augaben gesamt n. Kalenderjahren (lin. Inter.)</t>
  </si>
  <si>
    <t>Augaben gesamt n. Kalenderjahren (log. Inter.)</t>
  </si>
  <si>
    <t>Ausgaben gesamt n Abzug d.Tilgung n.Rechnungsjahren</t>
  </si>
  <si>
    <t>(A.12.8a)</t>
  </si>
  <si>
    <t>Zinsen n. Rechnungsjahren (log. Inter.)</t>
  </si>
  <si>
    <t>(A.13.8a)</t>
  </si>
  <si>
    <t>Zinsen n. Rechnungsjahren (lin. Inter.)</t>
  </si>
  <si>
    <t>Zinsen n. Rechnungsjahren</t>
  </si>
  <si>
    <t>(A.13.4a)</t>
  </si>
  <si>
    <t>Tilgung von LGH n. Kalenderjahren (lin. Inter.)</t>
  </si>
  <si>
    <t>(A.12.4a)</t>
  </si>
  <si>
    <t>Tilgung von LGH n. Kalenderjahren (log. Inter.)</t>
  </si>
  <si>
    <t>Tilgung von Länder,etc. nach Rechnungsjahren</t>
  </si>
  <si>
    <t>Einnahmen von Länder,etc. nach Kalenderjahren</t>
  </si>
  <si>
    <t>Einnahmen von Länder,etc. nach Rechnungsjahren</t>
  </si>
  <si>
    <t>(A.12.1)</t>
  </si>
  <si>
    <t>Reiner Finanzbedarf (zusammen) n. Kalenderjahren</t>
  </si>
  <si>
    <t>Reiner Finanzbedarf (zusammen) n. Rechnungsjahren</t>
  </si>
  <si>
    <t>LGH</t>
  </si>
  <si>
    <t>Berechnungen:</t>
  </si>
  <si>
    <t>(A.12.22)</t>
  </si>
  <si>
    <r>
      <t>Finanzierungssaldo
 des öffentlichen Sektors</t>
    </r>
    <r>
      <rPr>
        <sz val="8"/>
        <rFont val="Times New Roman"/>
        <family val="1"/>
      </rPr>
      <t xml:space="preserve">
 Überschuß (+)
 Nettoneuverschuldung (-)</t>
    </r>
  </si>
  <si>
    <r>
      <t>VI.</t>
    </r>
    <r>
      <rPr>
        <sz val="8"/>
        <rFont val="Times New Roman"/>
        <family val="1"/>
      </rPr>
      <t xml:space="preserve">
</t>
    </r>
  </si>
  <si>
    <t>(A.12.21)</t>
  </si>
  <si>
    <r>
      <t xml:space="preserve">ergibt: 
</t>
    </r>
    <r>
      <rPr>
        <sz val="8"/>
        <rFont val="Times New Roman"/>
        <family val="1"/>
      </rPr>
      <t>Einnahmen des öffentlichen Sektors insgesamt</t>
    </r>
  </si>
  <si>
    <t xml:space="preserve">       Sozialversicherung</t>
  </si>
  <si>
    <t xml:space="preserve">       Arbeitslosenversicherung</t>
  </si>
  <si>
    <t xml:space="preserve">       Länder und Gemeinden</t>
  </si>
  <si>
    <t>(c) Erwerbs- und 
   Vermögenseinnahmen:
       Reich</t>
  </si>
  <si>
    <t>(A.12.18)</t>
  </si>
  <si>
    <r>
      <t xml:space="preserve">   </t>
    </r>
    <r>
      <rPr>
        <i/>
        <sz val="8"/>
        <rFont val="Times New Roman"/>
        <family val="1"/>
      </rPr>
      <t xml:space="preserve">darunter: </t>
    </r>
    <r>
      <rPr>
        <sz val="8"/>
        <rFont val="Times New Roman"/>
        <family val="1"/>
      </rPr>
      <t xml:space="preserve">
   Arbeitgeberbeiträge</t>
    </r>
  </si>
  <si>
    <t>(A.12.17)</t>
  </si>
  <si>
    <t>(b) Beiträge zur
   Sozialversicherung</t>
  </si>
  <si>
    <t>(A.12.16)</t>
  </si>
  <si>
    <t xml:space="preserve">   indirekte</t>
  </si>
  <si>
    <t>(A.12.15)</t>
  </si>
  <si>
    <r>
      <t xml:space="preserve">abzüglich: </t>
    </r>
    <r>
      <rPr>
        <sz val="8"/>
        <rFont val="Times New Roman"/>
        <family val="1"/>
      </rPr>
      <t xml:space="preserve">
</t>
    </r>
    <r>
      <rPr>
        <b/>
        <sz val="8"/>
        <rFont val="Times New Roman"/>
        <family val="1"/>
      </rPr>
      <t>Einnahmen</t>
    </r>
    <r>
      <rPr>
        <sz val="8"/>
        <rFont val="Times New Roman"/>
        <family val="1"/>
      </rPr>
      <t xml:space="preserve">
(a) Steuern:
   direkte</t>
    </r>
  </si>
  <si>
    <t xml:space="preserve">
V.
</t>
  </si>
  <si>
    <t>(A.12.14)</t>
  </si>
  <si>
    <t xml:space="preserve">  öffentlicher Konsum </t>
  </si>
  <si>
    <t>(A.12.13)</t>
  </si>
  <si>
    <r>
      <t xml:space="preserve">darunter: 
 </t>
    </r>
    <r>
      <rPr>
        <sz val="8"/>
        <rFont val="Times New Roman"/>
        <family val="1"/>
      </rPr>
      <t>öffentliche Investitionen</t>
    </r>
  </si>
  <si>
    <t>(A.12.12)</t>
  </si>
  <si>
    <r>
      <t>Öffentlicher Konsum
und öffentliche Investitionen</t>
    </r>
    <r>
      <rPr>
        <sz val="8"/>
        <rFont val="Times New Roman"/>
        <family val="1"/>
      </rPr>
      <t xml:space="preserve"> ("Staatskäufe")</t>
    </r>
  </si>
  <si>
    <t xml:space="preserve">IV.
</t>
  </si>
  <si>
    <t>Tabelle A. 12 (Fortsetzung)</t>
  </si>
  <si>
    <t>(A.12.11)</t>
  </si>
  <si>
    <t>Transfers insgesamt</t>
  </si>
  <si>
    <t>(A.12.10)</t>
  </si>
  <si>
    <t xml:space="preserve"> einmalige </t>
  </si>
  <si>
    <t>(A.12.9)</t>
  </si>
  <si>
    <t xml:space="preserve">Sonstige Transfers an private Haushalte:
 laufende   </t>
  </si>
  <si>
    <t>(A.12.8)</t>
  </si>
  <si>
    <t>Zinsen gesamt</t>
  </si>
  <si>
    <t xml:space="preserve">  Länder, Gemeinden, Hansestädte</t>
  </si>
  <si>
    <t xml:space="preserve">  Reich</t>
  </si>
  <si>
    <t>Zinsen:</t>
  </si>
  <si>
    <t>(A.12.7)</t>
  </si>
  <si>
    <t>Reparationen</t>
  </si>
  <si>
    <t>(A.12.6)</t>
  </si>
  <si>
    <t>Subventionen</t>
  </si>
  <si>
    <r>
      <t>Transfers,</t>
    </r>
    <r>
      <rPr>
        <sz val="8"/>
        <rFont val="Times New Roman"/>
        <family val="1"/>
      </rPr>
      <t xml:space="preserve">
 </t>
    </r>
    <r>
      <rPr>
        <i/>
        <sz val="8"/>
        <rFont val="Times New Roman"/>
        <family val="1"/>
      </rPr>
      <t>darunter:</t>
    </r>
  </si>
  <si>
    <t>(A.12.5)</t>
  </si>
  <si>
    <t>Sachausgaben und Transfers des öffentlichen Sektors</t>
  </si>
  <si>
    <t>(A.12.5b)</t>
  </si>
  <si>
    <t>(A.12.5a)</t>
  </si>
  <si>
    <r>
      <t xml:space="preserve">ergibt: </t>
    </r>
    <r>
      <rPr>
        <sz val="8"/>
        <rFont val="Times New Roman"/>
        <family val="1"/>
      </rPr>
      <t xml:space="preserve">
</t>
    </r>
    <r>
      <rPr>
        <b/>
        <sz val="8"/>
        <rFont val="Times New Roman"/>
        <family val="1"/>
      </rPr>
      <t>Sachausgaben und Transfers</t>
    </r>
  </si>
  <si>
    <t>(A.12.4)</t>
  </si>
  <si>
    <t>Tilgung zusammen</t>
  </si>
  <si>
    <t xml:space="preserve"> LGH</t>
  </si>
  <si>
    <r>
      <t>davon ab:</t>
    </r>
    <r>
      <rPr>
        <sz val="8"/>
        <rFont val="Times New Roman"/>
        <family val="1"/>
      </rPr>
      <t xml:space="preserve"> 
Tilgung:
 Reich</t>
    </r>
  </si>
  <si>
    <t>(A.12.3)</t>
  </si>
  <si>
    <r>
      <t>ergibt:</t>
    </r>
    <r>
      <rPr>
        <sz val="8"/>
        <rFont val="Times New Roman"/>
        <family val="1"/>
      </rPr>
      <t xml:space="preserve"> 
Ausgaben des öffentlichen Sektors</t>
    </r>
  </si>
  <si>
    <t>Sozialversicherung</t>
  </si>
  <si>
    <t>(A.12.3a)</t>
  </si>
  <si>
    <t>(A.12.2)</t>
  </si>
  <si>
    <r>
      <t>zusammen:</t>
    </r>
    <r>
      <rPr>
        <sz val="8"/>
        <rFont val="Times New Roman"/>
        <family val="1"/>
      </rPr>
      <t xml:space="preserve"> 
Gebietskörperschaften</t>
    </r>
  </si>
  <si>
    <t>Die Ausgaben und Einnahmen des öffentlichen Sektors nach Kalenderjahren 1925-1938 (Mio. RM)</t>
  </si>
  <si>
    <t>Tabelle A.12</t>
  </si>
  <si>
    <t>(B.1.8)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</si>
  <si>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Volkseinkommen (NSPF), korrigierte Schätzung</t>
    </r>
  </si>
  <si>
    <r>
      <t>NSPF (B.1.3) abzüglich:</t>
    </r>
    <r>
      <rPr>
        <sz val="10"/>
        <rFont val="Times New Roman"/>
        <family val="1"/>
      </rPr>
      <t xml:space="preserve"> 
  Zinsen auf die öffentliche Schuld </t>
    </r>
  </si>
  <si>
    <t>Neue Korrektur</t>
  </si>
  <si>
    <t>(B.1.7)</t>
  </si>
  <si>
    <r>
      <t>zum Vergleich:</t>
    </r>
    <r>
      <rPr>
        <sz val="10"/>
        <rFont val="Times New Roman"/>
        <family val="1"/>
      </rPr>
      <t xml:space="preserve"> 
NSPF (Korrekturergebnis 
Hoffmann/Müller)</t>
    </r>
  </si>
  <si>
    <t>(B.1.6)</t>
  </si>
  <si>
    <r>
      <t>ergibt:</t>
    </r>
    <r>
      <rPr>
        <sz val="10"/>
        <rFont val="Times New Roman"/>
        <family val="1"/>
      </rPr>
      <t xml:space="preserve"> 
NSPF korrigiert</t>
    </r>
  </si>
  <si>
    <t>(B.I.5)</t>
  </si>
  <si>
    <t xml:space="preserve">  geschätzte Arbeitgeberbeiträge
  zur Sozialversicherung</t>
  </si>
  <si>
    <r>
      <t>zuzüglich:</t>
    </r>
    <r>
      <rPr>
        <sz val="10"/>
        <rFont val="Times New Roman"/>
        <family val="1"/>
      </rPr>
      <t xml:space="preserve"> </t>
    </r>
  </si>
  <si>
    <t xml:space="preserve">  ausgewiesene Arbeitgeberbeiträge 
  zur Sozialversicherung </t>
  </si>
  <si>
    <t>(B.I.4)</t>
  </si>
  <si>
    <r>
      <t>NSPF abzüglich:</t>
    </r>
    <r>
      <rPr>
        <sz val="10"/>
        <rFont val="Times New Roman"/>
        <family val="1"/>
      </rPr>
      <t xml:space="preserve"> 
  geschätzte Zinsen </t>
    </r>
  </si>
  <si>
    <t>Korrektur Hoffmann/Müller</t>
  </si>
  <si>
    <t>(B.1.3)</t>
  </si>
  <si>
    <r>
      <t>ergibt:</t>
    </r>
    <r>
      <rPr>
        <sz val="10"/>
        <rFont val="Times New Roman"/>
        <family val="1"/>
      </rPr>
      <t xml:space="preserve"> 
NSPF (Statistisches Bundesamt) </t>
    </r>
  </si>
  <si>
    <t>(B.1.2)</t>
  </si>
  <si>
    <r>
      <t>abzüglich:</t>
    </r>
    <r>
      <rPr>
        <sz val="10"/>
        <rFont val="Times New Roman"/>
        <family val="1"/>
      </rPr>
      <t xml:space="preserve"> 
  "in Privateinkommen nicht 
    enthaltene Steuern"</t>
    </r>
  </si>
  <si>
    <t>(B.1.1)</t>
  </si>
  <si>
    <t>Volkseinkommen 
(Definition Statistisches Reichsamt)</t>
  </si>
  <si>
    <t>Amtliche Daten</t>
  </si>
  <si>
    <t>Das Volkseinkommen 1913 sowie 1925-1938  (Mio. M/RM)</t>
  </si>
  <si>
    <t>Tabelle B.1</t>
  </si>
  <si>
    <t>(B.2.1)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</si>
  <si>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Verfügbares Einkommen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der privaten Haushalte</t>
    </r>
  </si>
  <si>
    <t xml:space="preserve">
II.
</t>
  </si>
  <si>
    <t xml:space="preserve">  Sonstige laufende
  Transfers durch den 
  öffentlichen Sektor</t>
  </si>
  <si>
    <r>
      <t>zuzüglich</t>
    </r>
    <r>
      <rPr>
        <sz val="10"/>
        <rFont val="Times New Roman"/>
        <family val="1"/>
      </rPr>
      <t>:
  Zinsen auf die 
  öffentliche Schuld</t>
    </r>
  </si>
  <si>
    <t xml:space="preserve">  Beiträge zur
  Sozialversicherung</t>
  </si>
  <si>
    <r>
      <t xml:space="preserve">abzüglich:
</t>
    </r>
    <r>
      <rPr>
        <sz val="10"/>
        <rFont val="Times New Roman"/>
        <family val="1"/>
      </rPr>
      <t xml:space="preserve">  Direkte Steuern</t>
    </r>
  </si>
  <si>
    <t>Volkseinkommen</t>
  </si>
  <si>
    <t>Die Umverteilung des Volkseinkommens 1925-1938 (Mio. RM)</t>
  </si>
  <si>
    <t>Tabelle B.2</t>
  </si>
  <si>
    <t>(B.3.10)</t>
  </si>
  <si>
    <r>
      <t>zum Vergleich:</t>
    </r>
    <r>
      <rPr>
        <sz val="10"/>
        <rFont val="Times New Roman"/>
        <family val="1"/>
      </rPr>
      <t xml:space="preserve">
Nettoinvestitionen     
(Hoffmann)</t>
    </r>
  </si>
  <si>
    <t>(B.3.9)</t>
  </si>
  <si>
    <r>
      <t xml:space="preserve">ergibt: </t>
    </r>
    <r>
      <rPr>
        <sz val="10"/>
        <rFont val="Times New Roman"/>
        <family val="1"/>
      </rPr>
      <t xml:space="preserve">                  
</t>
    </r>
    <r>
      <rPr>
        <b/>
        <sz val="10"/>
        <rFont val="Times New Roman"/>
        <family val="1"/>
      </rPr>
      <t>Nettoinvestitionen</t>
    </r>
  </si>
  <si>
    <t>(B.3.8)</t>
  </si>
  <si>
    <r>
      <t>dazu:</t>
    </r>
    <r>
      <rPr>
        <sz val="10"/>
        <rFont val="Times New Roman"/>
        <family val="1"/>
      </rPr>
      <t xml:space="preserve">
Lagerbestandsänderungen</t>
    </r>
  </si>
  <si>
    <t>(B.3.7)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</si>
  <si>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Nettoanlageinvestitionen</t>
    </r>
  </si>
  <si>
    <t>(B.3.6)</t>
  </si>
  <si>
    <t>abzüglich:                   
Abschreibungen</t>
  </si>
  <si>
    <t>(B.3.5)</t>
  </si>
  <si>
    <r>
      <t>ergibt:</t>
    </r>
    <r>
      <rPr>
        <sz val="10"/>
        <rFont val="Times New Roman"/>
        <family val="1"/>
      </rPr>
      <t xml:space="preserve"> 
</t>
    </r>
    <r>
      <rPr>
        <b/>
        <sz val="10"/>
        <rFont val="Times New Roman"/>
        <family val="1"/>
      </rPr>
      <t>Bruttoanlageinvestitionen  
des  Unternehmenssektors</t>
    </r>
  </si>
  <si>
    <t>(B.3.4)</t>
  </si>
  <si>
    <r>
      <t xml:space="preserve">    davon:</t>
    </r>
    <r>
      <rPr>
        <sz val="10"/>
        <rFont val="Times New Roman"/>
        <family val="1"/>
      </rPr>
      <t xml:space="preserve"> 
      Bauten im                 
      Staatssektor</t>
    </r>
  </si>
  <si>
    <t>(B.3.3)</t>
  </si>
  <si>
    <t xml:space="preserve">    Bauten</t>
  </si>
  <si>
    <t>(B.3.2)</t>
  </si>
  <si>
    <r>
      <t>darunter:</t>
    </r>
    <r>
      <rPr>
        <sz val="10"/>
        <rFont val="Times New Roman"/>
        <family val="1"/>
      </rPr>
      <t xml:space="preserve"> 
    Ausrüstungen</t>
    </r>
  </si>
  <si>
    <t>(B.3.1)</t>
  </si>
  <si>
    <t>Bruttoanlageinvestitionen</t>
  </si>
  <si>
    <t>Die aggregierten Investitionen 1925-1938 (Mrd. RM)</t>
  </si>
  <si>
    <t>Tabelle B. 3</t>
  </si>
  <si>
    <t>(B.4.18)</t>
  </si>
  <si>
    <t>8. Ungeklärter Rest</t>
  </si>
  <si>
    <t>(B.4.17)</t>
  </si>
  <si>
    <t xml:space="preserve">    Saldo</t>
  </si>
  <si>
    <t>(B.4.16)</t>
  </si>
  <si>
    <t xml:space="preserve">    passiv (Kapitalexporte)</t>
  </si>
  <si>
    <t>(B.4.15)</t>
  </si>
  <si>
    <t xml:space="preserve">       davon: 
       "Sondereinnahmen"</t>
  </si>
  <si>
    <t>(B.4.14)</t>
  </si>
  <si>
    <t xml:space="preserve">    aktiv (Kapitalimporte)</t>
  </si>
  <si>
    <t>7. Kapitalbilanz</t>
  </si>
  <si>
    <t>(B.4.13)</t>
  </si>
  <si>
    <t>6. Gold und Devisen</t>
  </si>
  <si>
    <t>(B.4.12)</t>
  </si>
  <si>
    <t>5. Saldo der                                                                                                                                          
    Leistungsbilanz</t>
  </si>
  <si>
    <t>(B.4.11)</t>
  </si>
  <si>
    <t>4. Übertragungen /
    Reparationen</t>
  </si>
  <si>
    <t>(B.4.10a)</t>
  </si>
  <si>
    <t xml:space="preserve">       dto. ohne Reparations-
       sachlieferungen  und 
       -dienstleistungen</t>
  </si>
  <si>
    <t>(B.4.10)</t>
  </si>
  <si>
    <t xml:space="preserve">    Außenbeitrag</t>
  </si>
  <si>
    <t>(B.4.10b)</t>
  </si>
  <si>
    <t xml:space="preserve">    Zahlungsbilanzielle
    Importe gesamt</t>
  </si>
  <si>
    <t xml:space="preserve">    Zahlungsbilanzielle
    Exporte gesamt</t>
  </si>
  <si>
    <t>4. Außenbeitrag</t>
  </si>
  <si>
    <t>(B.4.9)</t>
  </si>
  <si>
    <t xml:space="preserve">    Saldo der Zinsen-
    bilanz</t>
  </si>
  <si>
    <t>(B.4.8)</t>
  </si>
  <si>
    <t xml:space="preserve">    Zinseinkommen 
    des Auslands</t>
  </si>
  <si>
    <t>(B.4.7)</t>
  </si>
  <si>
    <t xml:space="preserve">    Zinseinkommen 
    aus dem Ausland</t>
  </si>
  <si>
    <t>3. Zinsen usw.</t>
  </si>
  <si>
    <t>(B.4.6a)</t>
  </si>
  <si>
    <t xml:space="preserve">       dto. ohne Reparations-
       dienstleistungen</t>
  </si>
  <si>
    <t xml:space="preserve">(B.4.6) </t>
  </si>
  <si>
    <t xml:space="preserve">    Saldo der Dienst-
    leistungsbilanz</t>
  </si>
  <si>
    <t>(B.4.5)</t>
  </si>
  <si>
    <t xml:space="preserve">    Dienstleistungsimporte</t>
  </si>
  <si>
    <t>(B.4.4.a)</t>
  </si>
  <si>
    <t>(B.4.4)</t>
  </si>
  <si>
    <t xml:space="preserve">    Dienstleistungsexporte</t>
  </si>
  <si>
    <t>2. Dienstleistungen</t>
  </si>
  <si>
    <t>(B.4.3.a)</t>
  </si>
  <si>
    <t xml:space="preserve">       dto. ohne Reparations-
       sachlieferungen</t>
  </si>
  <si>
    <t>(B.4.3)</t>
  </si>
  <si>
    <t xml:space="preserve">    Saldo der
    Handelsbilanz</t>
  </si>
  <si>
    <t>(B.4.2)</t>
  </si>
  <si>
    <t xml:space="preserve">    Importe (cif)</t>
  </si>
  <si>
    <t>(B.4.1.a)</t>
  </si>
  <si>
    <t>(B.4.1)</t>
  </si>
  <si>
    <t xml:space="preserve">    Exporte (fob)</t>
  </si>
  <si>
    <t>1. Warenhandel</t>
  </si>
  <si>
    <t>Die Zahlungsbilanz 1925-1938 (Mio. RM)</t>
  </si>
  <si>
    <t>Tabelle B.4</t>
  </si>
  <si>
    <t>(B.5.4)</t>
  </si>
  <si>
    <r>
      <t>zum Vergleich:</t>
    </r>
    <r>
      <rPr>
        <sz val="10"/>
        <rFont val="Times New Roman"/>
        <family val="1"/>
      </rPr>
      <t xml:space="preserve">
  Privater Konsum
  (Hoffmann)</t>
    </r>
  </si>
  <si>
    <t>(B.5.3)</t>
  </si>
  <si>
    <t>Privater Konsum</t>
  </si>
  <si>
    <t>verbleibt (Residuum):</t>
  </si>
  <si>
    <t xml:space="preserve">  Außenbeitrag</t>
  </si>
  <si>
    <t>(B.5.2)</t>
  </si>
  <si>
    <t xml:space="preserve">  Lagerinvestitionen</t>
  </si>
  <si>
    <t xml:space="preserve">  Anlageinvestitionen 
  der Unternehmen</t>
  </si>
  <si>
    <r>
      <t>abzüglich:</t>
    </r>
    <r>
      <rPr>
        <sz val="10"/>
        <rFont val="Times New Roman"/>
        <family val="1"/>
      </rPr>
      <t xml:space="preserve">
  Staatskäufe</t>
    </r>
  </si>
  <si>
    <t>(B.5.1)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</si>
  <si>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Bruttosozialprodukt</t>
    </r>
  </si>
  <si>
    <r>
      <t>abzüglich:</t>
    </r>
    <r>
      <rPr>
        <sz val="10"/>
        <rFont val="Times New Roman"/>
        <family val="1"/>
      </rPr>
      <t xml:space="preserve">
  Subventionen </t>
    </r>
  </si>
  <si>
    <t xml:space="preserve">  indirekte Steuern</t>
  </si>
  <si>
    <r>
      <t>zuzüglich:</t>
    </r>
    <r>
      <rPr>
        <sz val="10"/>
        <rFont val="Times New Roman"/>
        <family val="1"/>
      </rPr>
      <t xml:space="preserve"> 
  Kapitalverzehr</t>
    </r>
  </si>
  <si>
    <t>Die Ausgabenseite des Sozialprodukts 1925-1938 (Mrd. RM)</t>
  </si>
  <si>
    <t>Tabelle B.5</t>
  </si>
  <si>
    <t>(B.6.10)</t>
  </si>
  <si>
    <t>Kapitalverzehr in
konstanten Preisen</t>
  </si>
  <si>
    <r>
      <t>IV.</t>
    </r>
    <r>
      <rPr>
        <sz val="12"/>
        <color theme="1"/>
        <rFont val="Calibri"/>
        <family val="2"/>
        <scheme val="minor"/>
      </rPr>
      <t xml:space="preserve">
</t>
    </r>
  </si>
  <si>
    <t>(B.6.9)</t>
  </si>
  <si>
    <t>Bruttoanlageinvestitionen 
des Staatssektors 
in konstanten Preisen</t>
  </si>
  <si>
    <t>(B.6.8)</t>
  </si>
  <si>
    <t>Bruttoanlageinvestitionen 
des Unternehmenssektors 
in konstanten Preisen</t>
  </si>
  <si>
    <t>darunter:</t>
  </si>
  <si>
    <t>(B.6.7)</t>
  </si>
  <si>
    <r>
      <t xml:space="preserve">zusammen: 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Bruttoanlageinvestitionen 
in konstanten Preisen</t>
    </r>
  </si>
  <si>
    <t>(B.6.6)</t>
  </si>
  <si>
    <t>Bauinvestitionen 
in konstanten Peisen</t>
  </si>
  <si>
    <t>(B.6.5)</t>
  </si>
  <si>
    <t>Ausrüstungsinvestitionen
in konstanten Peisen</t>
  </si>
  <si>
    <t xml:space="preserve">I.
</t>
  </si>
  <si>
    <t>ergibt:</t>
  </si>
  <si>
    <t>(B.6.4)</t>
  </si>
  <si>
    <t xml:space="preserve">Preisindex für 
gewerbliche Betriebsausrüstungen </t>
  </si>
  <si>
    <t>(B.6.3)</t>
  </si>
  <si>
    <r>
      <t>daraus:</t>
    </r>
    <r>
      <rPr>
        <sz val="10"/>
        <rFont val="Times New Roman"/>
        <family val="1"/>
      </rPr>
      <t xml:space="preserve">
Preisindex für Bauinvestitionen</t>
    </r>
  </si>
  <si>
    <t>(B.6.2)</t>
  </si>
  <si>
    <t>Preisindex für den 
Tiefbau (Hoffmann)</t>
  </si>
  <si>
    <t>(B.6.1)</t>
  </si>
  <si>
    <t>Amtlicher Baukostenindex</t>
  </si>
  <si>
    <t>Die Investitionen 1925-1938, Preise von 1913 (Mrd. M/RM)</t>
  </si>
  <si>
    <t>Tabelle B.6</t>
  </si>
  <si>
    <t>(B.7.5)</t>
  </si>
  <si>
    <t>(B.7.4)</t>
  </si>
  <si>
    <t xml:space="preserve">    Importe</t>
  </si>
  <si>
    <t>(B.7.3)</t>
  </si>
  <si>
    <t xml:space="preserve">    Exporte</t>
  </si>
  <si>
    <t>II. Preisbereinigte
     Ziffern</t>
  </si>
  <si>
    <t>(B.7.2)</t>
  </si>
  <si>
    <t xml:space="preserve">    Importpreise</t>
  </si>
  <si>
    <t>(B.7.1)</t>
  </si>
  <si>
    <t xml:space="preserve">    Exportpreise</t>
  </si>
  <si>
    <r>
      <t xml:space="preserve">I. Implizite Deflatoren
</t>
    </r>
    <r>
      <rPr>
        <sz val="10"/>
        <rFont val="Times New Roman"/>
        <family val="1"/>
      </rPr>
      <t xml:space="preserve">    (1913 = 100)</t>
    </r>
  </si>
  <si>
    <t>Der Außenhandel 1925-1938, Preise von 1913 (Mio. RM)</t>
  </si>
  <si>
    <t>Tabelle B.7</t>
  </si>
  <si>
    <t>(B.8.4)</t>
  </si>
  <si>
    <r>
      <t>Privater Konsum</t>
    </r>
    <r>
      <rPr>
        <sz val="10"/>
        <rFont val="Times New Roman"/>
        <family val="1"/>
      </rPr>
      <t xml:space="preserve">            
(preisbereinigt)</t>
    </r>
  </si>
  <si>
    <t xml:space="preserve">IV.
</t>
  </si>
  <si>
    <t>(B.8.3)</t>
  </si>
  <si>
    <t>Preisindex der
Lebenshaltung (1913=100)</t>
  </si>
  <si>
    <r>
      <t>Privater Konsum</t>
    </r>
    <r>
      <rPr>
        <sz val="10"/>
        <rFont val="Times New Roman"/>
        <family val="1"/>
      </rPr>
      <t xml:space="preserve">     
(laufende Werte)</t>
    </r>
  </si>
  <si>
    <t>(B.8.2)</t>
  </si>
  <si>
    <r>
      <t>Öffentlicher Konsum</t>
    </r>
    <r>
      <rPr>
        <sz val="10"/>
        <rFont val="Times New Roman"/>
        <family val="1"/>
      </rPr>
      <t xml:space="preserve">    
(preisbereinigt)</t>
    </r>
  </si>
  <si>
    <t>(B.8.1)</t>
  </si>
  <si>
    <t>Deflator für den
öffentlichen Konsum
(Hoffmann, 1913=100)</t>
  </si>
  <si>
    <r>
      <t xml:space="preserve">Öffentlicher Konsum </t>
    </r>
    <r>
      <rPr>
        <sz val="10"/>
        <rFont val="Times New Roman"/>
        <family val="1"/>
      </rPr>
      <t xml:space="preserve">
(laufende Werte)</t>
    </r>
  </si>
  <si>
    <t>Öffentlicher und privater Konsum 1925-1938, Preise von 1913 (Mrd. RM)</t>
  </si>
  <si>
    <t>Tabelle B.8</t>
  </si>
  <si>
    <t>(B.9.4)</t>
  </si>
  <si>
    <t>(B.9.3)</t>
  </si>
  <si>
    <r>
      <t>zum Vergleich:</t>
    </r>
    <r>
      <rPr>
        <sz val="10"/>
        <rFont val="Times New Roman"/>
        <family val="1"/>
      </rPr>
      <t xml:space="preserve"> 
NSPM (Hoffmann)</t>
    </r>
  </si>
  <si>
    <t>(B.9.2)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</si>
  <si>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Nettosozialprodukt   
zu Marktpreisen
in Preisen von 1913</t>
    </r>
  </si>
  <si>
    <t xml:space="preserve">II.
</t>
  </si>
  <si>
    <r>
      <t>davon ab:</t>
    </r>
    <r>
      <rPr>
        <sz val="10"/>
        <rFont val="Times New Roman"/>
        <family val="1"/>
      </rPr>
      <t xml:space="preserve">
Abschreibungen 
(Ersatzinvestitionen)</t>
    </r>
  </si>
  <si>
    <t>(B.9.1)</t>
  </si>
  <si>
    <r>
      <t>ergibt: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Bruttosozialprodukt   
in Preisen von 1913</t>
    </r>
  </si>
  <si>
    <t>Außenbeitrag</t>
  </si>
  <si>
    <t>Lagerinvestitionen</t>
  </si>
  <si>
    <t>Bruttoanlage-     
investitionen</t>
  </si>
  <si>
    <t>(B.8.5)</t>
  </si>
  <si>
    <t xml:space="preserve">Öffentlicher Konsum </t>
  </si>
  <si>
    <t xml:space="preserve">Die Verwendung des Sozialprodukts 1925-1938, Preise von 1913 (Mrd. RM) </t>
  </si>
  <si>
    <t>Tabelle B.9</t>
  </si>
  <si>
    <t>(C.1.7)</t>
  </si>
  <si>
    <t>(C.1.6)</t>
  </si>
  <si>
    <t>(C.1.5)</t>
  </si>
  <si>
    <t>(C.1.4)</t>
  </si>
  <si>
    <t>(C.1.3)</t>
  </si>
  <si>
    <t>(C.1.2)</t>
  </si>
  <si>
    <t>(C.1.1)</t>
  </si>
  <si>
    <t>1938 units</t>
  </si>
  <si>
    <t>(1938=100)</t>
  </si>
  <si>
    <t>1924:12=100</t>
  </si>
  <si>
    <t>base)</t>
  </si>
  <si>
    <t xml:space="preserve">in </t>
  </si>
  <si>
    <t>hours</t>
  </si>
  <si>
    <t>base Dec. 1924</t>
  </si>
  <si>
    <t>base</t>
  </si>
  <si>
    <t>reporting</t>
  </si>
  <si>
    <t>employment</t>
  </si>
  <si>
    <t>weekly</t>
  </si>
  <si>
    <t xml:space="preserve">constant reporting </t>
  </si>
  <si>
    <t>of reporting</t>
  </si>
  <si>
    <t xml:space="preserve">(changing </t>
  </si>
  <si>
    <t>hourly</t>
  </si>
  <si>
    <t>of</t>
  </si>
  <si>
    <t>spliced to</t>
  </si>
  <si>
    <t>series</t>
  </si>
  <si>
    <t>Index</t>
  </si>
  <si>
    <t>Estimated</t>
  </si>
  <si>
    <t>IFK</t>
  </si>
  <si>
    <t>Stat. Office</t>
  </si>
  <si>
    <t>Employment</t>
  </si>
  <si>
    <t>TABLE C.1</t>
  </si>
  <si>
    <t xml:space="preserve">    .</t>
  </si>
  <si>
    <t xml:space="preserve">   . </t>
  </si>
  <si>
    <t xml:space="preserve"> . </t>
  </si>
  <si>
    <t xml:space="preserve">     . </t>
  </si>
  <si>
    <t>(C.2.15)</t>
  </si>
  <si>
    <t>(C.2.14)</t>
  </si>
  <si>
    <t>(C.2.13)</t>
  </si>
  <si>
    <t>(C.2.12)</t>
  </si>
  <si>
    <t>(C.2.11)</t>
  </si>
  <si>
    <t>(C.2.10)</t>
  </si>
  <si>
    <t>(C.2.9)</t>
  </si>
  <si>
    <t>(C.2.8)</t>
  </si>
  <si>
    <t>(C.2.7)</t>
  </si>
  <si>
    <t>(C.2.6)</t>
  </si>
  <si>
    <t>(C.2.5)</t>
  </si>
  <si>
    <t>(C.2.4)</t>
  </si>
  <si>
    <t>(C.2.3)</t>
  </si>
  <si>
    <t>(C.2.2)</t>
  </si>
  <si>
    <t>(C.2.1)</t>
  </si>
  <si>
    <t>P_ImportedRawMat</t>
  </si>
  <si>
    <t xml:space="preserve">  CapitalStock</t>
  </si>
  <si>
    <t>P_FinishedManuf</t>
  </si>
  <si>
    <t>US_PrivDiscRate</t>
  </si>
  <si>
    <t>MoneyBase</t>
  </si>
  <si>
    <t>TOBINS_Q</t>
  </si>
  <si>
    <t>DomestMachOrders</t>
  </si>
  <si>
    <t xml:space="preserve">WAGEBILL   </t>
  </si>
  <si>
    <t xml:space="preserve"> PrivDiscRate </t>
  </si>
  <si>
    <t>INV_PRIV</t>
  </si>
  <si>
    <t>CPI</t>
  </si>
  <si>
    <t>CentralGovDeficit</t>
  </si>
  <si>
    <t>NationalIncome</t>
  </si>
  <si>
    <t xml:space="preserve"> Y_DISPOSABLE</t>
  </si>
  <si>
    <t>PRIVCONS</t>
  </si>
  <si>
    <t>Other quarterly series</t>
  </si>
  <si>
    <t>Tabelle C.2</t>
  </si>
  <si>
    <t>(D.1.24)</t>
  </si>
  <si>
    <t>M2 money multiplier</t>
  </si>
  <si>
    <t>(D.1.23)</t>
  </si>
  <si>
    <t>M2, wide definition</t>
  </si>
  <si>
    <t>(D.1.22)</t>
  </si>
  <si>
    <t xml:space="preserve">  Savings deposits</t>
  </si>
  <si>
    <t>(D.1.21)</t>
  </si>
  <si>
    <t>M1 money multiplier</t>
  </si>
  <si>
    <t>(D.1.20)</t>
  </si>
  <si>
    <t>Currency/deposit ratio</t>
  </si>
  <si>
    <t>(D.1.19)</t>
  </si>
  <si>
    <t>M1, wide definition</t>
  </si>
  <si>
    <t>(D.1.18)</t>
  </si>
  <si>
    <t xml:space="preserve">  Demand and Time Deposits, non-Banks and Foreign Banks</t>
  </si>
  <si>
    <t>(D.1.17)</t>
  </si>
  <si>
    <t>Monetary base</t>
  </si>
  <si>
    <t>(D.1.16)</t>
  </si>
  <si>
    <t>Currency held by the public</t>
  </si>
  <si>
    <t>(D.1.15)</t>
  </si>
  <si>
    <t xml:space="preserve">  Government vault cash held at Reichsbank</t>
  </si>
  <si>
    <t>(D.1.14)</t>
  </si>
  <si>
    <t>Total Reserves of commerical banking system</t>
  </si>
  <si>
    <t>(D.1.13)</t>
  </si>
  <si>
    <t xml:space="preserve">  Reserves of commerical banking system held at Reichsbank</t>
  </si>
  <si>
    <t>(D.1.12)</t>
  </si>
  <si>
    <t xml:space="preserve">  Vault cash in commercial banking system</t>
  </si>
  <si>
    <t>(D.1.11)</t>
  </si>
  <si>
    <t>Total vault cash at central banks</t>
  </si>
  <si>
    <t>(D.1.10)</t>
  </si>
  <si>
    <t xml:space="preserve">  Vault cash of Golddiskontbank</t>
  </si>
  <si>
    <t>NA</t>
  </si>
  <si>
    <t>(D.1.9)</t>
  </si>
  <si>
    <t xml:space="preserve">  Vault cash of Rentenbank</t>
  </si>
  <si>
    <t>(D.1.8)</t>
  </si>
  <si>
    <t xml:space="preserve">  Vault cash of private note emitting banks</t>
  </si>
  <si>
    <t>(D.1.7)</t>
  </si>
  <si>
    <t xml:space="preserve">  Vault cash of Reichsbank: private and Rentenbank notes</t>
  </si>
  <si>
    <t>(D.1.6)</t>
  </si>
  <si>
    <t xml:space="preserve">  Vault cash of Reichsbank: coins</t>
  </si>
  <si>
    <t>(D.1.5)</t>
  </si>
  <si>
    <t>Total bank notes and coins</t>
  </si>
  <si>
    <t>(D.1.4)</t>
  </si>
  <si>
    <t xml:space="preserve">  Coins in circulation</t>
  </si>
  <si>
    <t>(D.1.3)</t>
  </si>
  <si>
    <t xml:space="preserve">  Rentenbank notes in circulation</t>
  </si>
  <si>
    <t>(D.1.2)</t>
  </si>
  <si>
    <t xml:space="preserve">  Private bank notes in circulation</t>
  </si>
  <si>
    <t>(D.1.1)</t>
  </si>
  <si>
    <t xml:space="preserve">  Reichsbank notes in circulation</t>
  </si>
  <si>
    <t>1945</t>
  </si>
  <si>
    <t>1944</t>
  </si>
  <si>
    <t>1943</t>
  </si>
  <si>
    <t>1942</t>
  </si>
  <si>
    <t>1941</t>
  </si>
  <si>
    <t>1940</t>
  </si>
  <si>
    <t>1939</t>
  </si>
  <si>
    <t>The Monetary Base, M1, M2, and their Components, 1924-1945 (mill.RM)</t>
  </si>
  <si>
    <t>TABLE D.1</t>
  </si>
  <si>
    <t>Statistisches Handbuch von Deutschland (1949), ed. by Laenderrat des amerikanischen Besatzungsgebiets, Munich: Ehrenwirth.</t>
  </si>
  <si>
    <t>Deutsche Bundesbank (1976), Deutsches Geld- und Bankwesen in Zahlen, Frankfurt/M.: Knapp.</t>
  </si>
  <si>
    <t>Sources:</t>
  </si>
  <si>
    <t>M2 money multiplier = D.1.23 / D.1.17</t>
  </si>
  <si>
    <t>D.1.24</t>
  </si>
  <si>
    <t>M2 = D.1.19 + D.1.22</t>
  </si>
  <si>
    <t>D.1.23</t>
  </si>
  <si>
    <t>Savings deposits, Deutsche Bundesbank (1976, Table DII, 1.01 "Aktiva und Passiva aller Banken", "Spareinlagen")</t>
  </si>
  <si>
    <t>D.1.22</t>
  </si>
  <si>
    <t>M1 money multiplier = D.1.19 / D.1 17</t>
  </si>
  <si>
    <t>D.1.21</t>
  </si>
  <si>
    <t>C/D = D.1.16 / D.1.18</t>
  </si>
  <si>
    <t>D.1.20</t>
  </si>
  <si>
    <t>M1 = D.1.16 + D.1.18</t>
  </si>
  <si>
    <t>D.1.19</t>
  </si>
  <si>
    <t>Demand and Time Deposits, Non-Banks and Foreign Banks (structural break in reporting base 1933(?), 1940)</t>
  </si>
  <si>
    <t>D.1.18</t>
  </si>
  <si>
    <t>Monetary base = D.1.16+D.1.14</t>
  </si>
  <si>
    <t>D.1.17</t>
  </si>
  <si>
    <t>Currency held by the public= D.1.5-D.1.11-D.1.14-D.1.15</t>
  </si>
  <si>
    <t>D.1.16</t>
  </si>
  <si>
    <t>Government vault cash held at Reichsbank</t>
  </si>
  <si>
    <t>D.1.15</t>
  </si>
  <si>
    <t>Total reserves in the banking system, excluding central banks, = D.1.12+13</t>
  </si>
  <si>
    <t>D.1.14</t>
  </si>
  <si>
    <t xml:space="preserve"> reserves of banking system held at Reichsbank, Deutsche Bundesbank (1976, Table C.I, 1.01 "Notenbank", "Einlagen Kreditinstitute")</t>
  </si>
  <si>
    <t xml:space="preserve">1939-1943: </t>
  </si>
  <si>
    <t>1927-1938: reserves of banking system at Reichsbank and postal banking system, Deutsche Bundesbank (1976, Table D.II.1.01, "Reichsbank- und Postscheckguthaben")</t>
  </si>
  <si>
    <t>Deutsche Bundesbank (1976, Table C.I, 1.01 "Notenbank", "Einlagen"; Table D.II.1.01, "Reichsbank- und Postscheckguthaben")</t>
  </si>
  <si>
    <t>1924-1926: reserves held at Reichsbank by banks and private non-banks, adjusted by share of banks in total from 1927,</t>
  </si>
  <si>
    <t>Reserves of banking system held at the Reichsbank</t>
  </si>
  <si>
    <t>D.1.13</t>
  </si>
  <si>
    <t xml:space="preserve">            minus bank deposits at Reichsbank, Deutsche Bundesbank (1976, Table C.I, 1.01 "Notenbank", "Einlagen Kreditinstitute")</t>
  </si>
  <si>
    <t>1939-1942: including deposits at Reichsbank, Deutsche Bundesbank (1976, Table D.II, 1.01 "Aktiva und Passiva aller Banken", "Barreserve")</t>
  </si>
  <si>
    <t>1928(1924?)-1938: excluding deposits at Reichsbank, Deutsche Bundesbank (1976, Table D.II, 1.01 "Aktiva und Passiva aller Banken", "Barreserve")</t>
  </si>
  <si>
    <t xml:space="preserve">Vault cash in the banking system, </t>
  </si>
  <si>
    <t>D.1.12</t>
  </si>
  <si>
    <t>Vault cash at central banks, = D.1.6+D.1.7+D.1.8+D.1.9+D.1.10</t>
  </si>
  <si>
    <t>D.1.11</t>
  </si>
  <si>
    <t>Vault cash of Dego, Deutsche Bundesbank (1976, Table C.I, 1.05 "Deutsche Golddiskontbank", "Barreserve")</t>
  </si>
  <si>
    <t>D.1.10</t>
  </si>
  <si>
    <t>Vault cash of Rentenbank, Deutsche Bundesbank (1976, Table C.I, 1.04 "Deutsche Rentenbank", "Bsarreserve")</t>
  </si>
  <si>
    <t>D.1.9</t>
  </si>
  <si>
    <t>Vault cash of other emission banks, Deutsche Bundesbank (1976, Table C.I, 1.02 "Privatbanken", "Kasse")</t>
  </si>
  <si>
    <t>D.1.8</t>
  </si>
  <si>
    <t>Vault cash of Reichsbank: Rentenbank and private bank notes, Deutsche Bundesbank (1976, Table C.I, 1.01 "Reichsbank", "Rentenbankscheine" and "Noten anderer Banken")</t>
  </si>
  <si>
    <t>D.1.7</t>
  </si>
  <si>
    <t>Vault cash of Reichsbank: coins, Deutsche Bundesbank (1976, Table C.I, 1.01 "Reichsbank", "Deutsche Scheidemuenzen")</t>
  </si>
  <si>
    <t>D.1.6</t>
  </si>
  <si>
    <t>total bank notes and coins in circulation, = D.1.1+D.1.2+D.1.3+D.1.4</t>
  </si>
  <si>
    <t>D.1.5</t>
  </si>
  <si>
    <t>1928-1945: coins in circulation and in banking system (excl. private emission banks), Statistisches Handbuch von Deutschland p. 505, Table XII.A.1</t>
  </si>
  <si>
    <t>1924-1927: coins in circulation and in banking system, Statistisches Jahrbuch fuer das Deutsche Reich, various issues.</t>
  </si>
  <si>
    <t>D.1.4</t>
  </si>
  <si>
    <t>Rentenbank notes in circulation, Deutsche Bundesbank (1976, Table C.I, 1.04 "Deutsche Rentenbank", "Umlauf an Rentenbankscheinen")</t>
  </si>
  <si>
    <t>D.1.3.</t>
  </si>
  <si>
    <t>Other bank notes in circulation and in banking system, Deutsche Bundesbank (1976, Table C.I, 1.02 "Privatbanken", "Banknotenumlauf")</t>
  </si>
  <si>
    <t>D.1.2.</t>
  </si>
  <si>
    <t>Reichsbank notes in circulation and in banking system, Deutsche Bundesbank (1976, Table C.I 1.01 "Reichsbank", "Banknotenumlauf")</t>
  </si>
  <si>
    <t>D.1.1.</t>
  </si>
  <si>
    <t>Legend to Table D.1</t>
  </si>
  <si>
    <t>Constant 1913 prices</t>
  </si>
  <si>
    <t>Staakfaufe</t>
  </si>
  <si>
    <t xml:space="preserve">Voth in his review of the book (http://eh.net/book_reviews/deutschlands-krise-und-konjunktur-1924-1934-binnenkonjuktur-auslandsverschuldung-und-re) </t>
  </si>
  <si>
    <t>considers that the book probably provides the best quality national account data for the interwar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</si>
</sst>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\ _D_M_-;\-* #,##0.00\ _D_M_-;_-* &quot;-&quot;??\ _D_M_-;_-@_-"/>
    <numFmt numFmtId="165" formatCode="0.0"/>
    <numFmt numFmtId="166" formatCode="_(* #,##0_);_(* \(#,##0\);_(* &quot;-&quot;_);_(@_)"/>
    <numFmt numFmtId="167" formatCode="_(* #,##0.00_);_(* \(#,##0.00\);_(* &quot;-&quot;??_);_(@_)"/>
    <numFmt numFmtId="168" formatCode="0.0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0.000"/>
    <numFmt numFmtId="172" formatCode="0.00_)"/>
    <numFmt numFmtId="173" formatCode="_-* #,##0.00_-;\-* #,##0.00_-;_-* &quot;-&quot;??_-;_-@_-"/>
    <numFmt numFmtId="174" formatCode="0.0%"/>
  </numFmts>
  <fonts count="6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i/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Courier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b/>
      <sz val="8"/>
      <name val="Arial"/>
    </font>
    <font>
      <b/>
      <sz val="10"/>
      <name val="Arial"/>
      <family val="2"/>
    </font>
    <font>
      <sz val="6"/>
      <name val="Courier"/>
      <family val="3"/>
    </font>
    <font>
      <b/>
      <sz val="7"/>
      <name val="Times New Roman"/>
      <family val="1"/>
    </font>
    <font>
      <sz val="8"/>
      <name val="Courier"/>
    </font>
    <font>
      <sz val="8"/>
      <color indexed="10"/>
      <name val="Times New Roman"/>
      <family val="1"/>
    </font>
    <font>
      <sz val="7"/>
      <name val="Arial"/>
      <family val="2"/>
    </font>
    <font>
      <sz val="7"/>
      <name val="Times New Roman"/>
      <family val="1"/>
    </font>
    <font>
      <b/>
      <i/>
      <sz val="7"/>
      <name val="Times New Roman"/>
      <family val="1"/>
    </font>
    <font>
      <i/>
      <sz val="9"/>
      <name val="Times New Roman"/>
      <family val="1"/>
    </font>
    <font>
      <u/>
      <sz val="8"/>
      <name val="Times New Roman"/>
      <family val="1"/>
    </font>
    <font>
      <sz val="8"/>
      <color indexed="20"/>
      <name val="Times New Roman"/>
      <family val="1"/>
    </font>
    <font>
      <sz val="8"/>
      <color indexed="12"/>
      <name val="Times New Roman"/>
      <family val="1"/>
    </font>
    <font>
      <sz val="8"/>
      <color indexed="28"/>
      <name val="Times New Roman"/>
      <family val="1"/>
    </font>
    <font>
      <b/>
      <sz val="8"/>
      <color indexed="8"/>
      <name val="Times New Roman"/>
      <family val="1"/>
    </font>
    <font>
      <sz val="8"/>
      <color indexed="48"/>
      <name val="Times New Roman"/>
      <family val="1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37"/>
      <name val="Times New Roman"/>
      <family val="1"/>
    </font>
    <font>
      <sz val="7"/>
      <color indexed="10"/>
      <name val="Arial"/>
      <family val="2"/>
    </font>
    <font>
      <i/>
      <sz val="7"/>
      <color indexed="10"/>
      <name val="Arial"/>
      <family val="2"/>
    </font>
    <font>
      <sz val="7"/>
      <color indexed="18"/>
      <name val="Arial"/>
      <family val="2"/>
    </font>
    <font>
      <b/>
      <sz val="10"/>
      <color indexed="8"/>
      <name val="Arial"/>
      <family val="2"/>
    </font>
    <font>
      <i/>
      <sz val="8"/>
      <color indexed="10"/>
      <name val="Times New Roman"/>
      <family val="1"/>
    </font>
    <font>
      <b/>
      <sz val="7"/>
      <name val="Arial"/>
      <family val="2"/>
    </font>
    <font>
      <sz val="7"/>
      <color indexed="14"/>
      <name val="Arial"/>
      <family val="2"/>
    </font>
    <font>
      <i/>
      <sz val="7"/>
      <name val="Arial"/>
      <family val="2"/>
    </font>
    <font>
      <i/>
      <sz val="7"/>
      <color indexed="8"/>
      <name val="Arial"/>
      <family val="2"/>
    </font>
    <font>
      <b/>
      <sz val="7"/>
      <color indexed="10"/>
      <name val="Arial"/>
      <family val="2"/>
    </font>
    <font>
      <sz val="10"/>
      <color indexed="8"/>
      <name val="Times New Roman"/>
      <family val="1"/>
    </font>
    <font>
      <sz val="9"/>
      <name val="Arial"/>
      <family val="2"/>
    </font>
    <font>
      <sz val="9"/>
      <color indexed="8"/>
      <name val="Times New Roman"/>
      <family val="1"/>
    </font>
    <font>
      <i/>
      <sz val="10"/>
      <color indexed="10"/>
      <name val="Times New Roman"/>
      <family val="1"/>
    </font>
    <font>
      <sz val="10"/>
      <name val="Book Antiqua"/>
      <family val="1"/>
    </font>
    <font>
      <sz val="8"/>
      <name val="Book Antiqua"/>
      <family val="1"/>
    </font>
    <font>
      <sz val="10"/>
      <color indexed="10"/>
      <name val="Times New Roman"/>
      <family val="1"/>
    </font>
    <font>
      <sz val="6"/>
      <color indexed="10"/>
      <name val="Times New Roman"/>
      <family val="1"/>
    </font>
    <font>
      <sz val="6"/>
      <name val="Times New Roman"/>
      <family val="1"/>
    </font>
    <font>
      <sz val="8"/>
      <color indexed="53"/>
      <name val="Times New Roman"/>
      <family val="1"/>
    </font>
    <font>
      <sz val="8"/>
      <color indexed="49"/>
      <name val="Times New Roman"/>
      <family val="1"/>
    </font>
    <font>
      <sz val="8"/>
      <color indexed="10"/>
      <name val="Arial"/>
      <family val="2"/>
    </font>
    <font>
      <sz val="11"/>
      <name val="Times New Roman"/>
      <family val="1"/>
    </font>
    <font>
      <sz val="11"/>
      <name val="Courier"/>
    </font>
    <font>
      <b/>
      <sz val="11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b/>
      <i/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4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6" fillId="0" borderId="0"/>
    <xf numFmtId="173" fontId="6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9">
    <xf numFmtId="0" fontId="0" fillId="0" borderId="0" xfId="0"/>
    <xf numFmtId="0" fontId="2" fillId="0" borderId="0" xfId="0" applyFont="1"/>
    <xf numFmtId="0" fontId="6" fillId="0" borderId="0" xfId="23"/>
    <xf numFmtId="1" fontId="7" fillId="0" borderId="0" xfId="23" applyNumberFormat="1" applyFont="1" applyFill="1" applyBorder="1" applyAlignment="1">
      <alignment textRotation="180"/>
    </xf>
    <xf numFmtId="165" fontId="8" fillId="0" borderId="0" xfId="24" quotePrefix="1" applyNumberFormat="1" applyFont="1" applyFill="1" applyBorder="1" applyAlignment="1">
      <alignment horizontal="left"/>
    </xf>
    <xf numFmtId="165" fontId="8" fillId="0" borderId="0" xfId="23" applyNumberFormat="1" applyFont="1" applyFill="1" applyBorder="1" applyAlignment="1"/>
    <xf numFmtId="165" fontId="7" fillId="0" borderId="0" xfId="23" applyNumberFormat="1" applyFont="1" applyFill="1" applyBorder="1" applyAlignment="1"/>
    <xf numFmtId="165" fontId="6" fillId="0" borderId="0" xfId="23" applyNumberFormat="1" applyAlignment="1">
      <alignment horizontal="right"/>
    </xf>
    <xf numFmtId="165" fontId="6" fillId="0" borderId="0" xfId="23" applyNumberFormat="1" applyFill="1" applyBorder="1" applyAlignment="1"/>
    <xf numFmtId="0" fontId="6" fillId="0" borderId="0" xfId="23" applyAlignment="1"/>
    <xf numFmtId="165" fontId="8" fillId="0" borderId="0" xfId="23" applyNumberFormat="1" applyFont="1" applyFill="1" applyBorder="1" applyAlignment="1">
      <alignment horizontal="right"/>
    </xf>
    <xf numFmtId="165" fontId="8" fillId="0" borderId="0" xfId="24" applyNumberFormat="1" applyFont="1" applyFill="1" applyBorder="1" applyAlignment="1">
      <alignment horizontal="center"/>
    </xf>
    <xf numFmtId="165" fontId="6" fillId="0" borderId="0" xfId="23" applyNumberFormat="1" applyBorder="1" applyAlignment="1">
      <alignment horizontal="right"/>
    </xf>
    <xf numFmtId="165" fontId="8" fillId="0" borderId="1" xfId="23" applyNumberFormat="1" applyFont="1" applyFill="1" applyBorder="1" applyAlignment="1">
      <alignment horizontal="right"/>
    </xf>
    <xf numFmtId="165" fontId="8" fillId="0" borderId="1" xfId="24" applyNumberFormat="1" applyFont="1" applyFill="1" applyBorder="1" applyAlignment="1">
      <alignment horizontal="center"/>
    </xf>
    <xf numFmtId="165" fontId="6" fillId="0" borderId="1" xfId="23" applyNumberFormat="1" applyBorder="1" applyAlignment="1">
      <alignment horizontal="right"/>
    </xf>
    <xf numFmtId="165" fontId="8" fillId="0" borderId="1" xfId="23" applyNumberFormat="1" applyFont="1" applyFill="1" applyBorder="1" applyAlignment="1"/>
    <xf numFmtId="165" fontId="9" fillId="0" borderId="0" xfId="23" applyNumberFormat="1" applyFont="1" applyAlignment="1">
      <alignment horizontal="right"/>
    </xf>
    <xf numFmtId="165" fontId="8" fillId="0" borderId="0" xfId="24" applyNumberFormat="1" applyFont="1" applyFill="1" applyBorder="1" applyAlignment="1">
      <alignment horizontal="left"/>
    </xf>
    <xf numFmtId="165" fontId="8" fillId="0" borderId="0" xfId="23" applyNumberFormat="1" applyFont="1" applyFill="1" applyBorder="1" applyAlignment="1">
      <alignment horizontal="left"/>
    </xf>
    <xf numFmtId="165" fontId="8" fillId="0" borderId="0" xfId="24" applyNumberFormat="1" applyFont="1" applyFill="1" applyBorder="1" applyAlignment="1">
      <alignment horizontal="right"/>
    </xf>
    <xf numFmtId="165" fontId="8" fillId="0" borderId="0" xfId="23" applyNumberFormat="1" applyFont="1" applyFill="1" applyBorder="1" applyAlignment="1">
      <alignment wrapText="1"/>
    </xf>
    <xf numFmtId="165" fontId="10" fillId="0" borderId="0" xfId="23" applyNumberFormat="1" applyFont="1" applyFill="1" applyBorder="1" applyAlignment="1">
      <alignment wrapText="1"/>
    </xf>
    <xf numFmtId="165" fontId="11" fillId="0" borderId="0" xfId="23" applyNumberFormat="1" applyFont="1" applyFill="1" applyBorder="1" applyAlignment="1"/>
    <xf numFmtId="165" fontId="11" fillId="0" borderId="0" xfId="23" applyNumberFormat="1" applyFont="1" applyFill="1" applyBorder="1" applyAlignment="1">
      <alignment wrapText="1"/>
    </xf>
    <xf numFmtId="165" fontId="8" fillId="0" borderId="0" xfId="23" applyNumberFormat="1" applyFont="1" applyFill="1" applyBorder="1" applyAlignment="1">
      <alignment horizontal="right" vertical="center" wrapText="1"/>
    </xf>
    <xf numFmtId="165" fontId="6" fillId="0" borderId="0" xfId="23" applyNumberFormat="1"/>
    <xf numFmtId="1" fontId="8" fillId="0" borderId="0" xfId="23" applyNumberFormat="1" applyFont="1" applyFill="1" applyBorder="1" applyAlignment="1">
      <alignment horizontal="right" vertical="center"/>
    </xf>
    <xf numFmtId="165" fontId="11" fillId="0" borderId="0" xfId="24" applyNumberFormat="1" applyFont="1" applyFill="1" applyBorder="1" applyAlignment="1">
      <alignment horizontal="right" vertical="center"/>
    </xf>
    <xf numFmtId="165" fontId="6" fillId="0" borderId="0" xfId="23" applyNumberFormat="1" applyBorder="1" applyAlignment="1">
      <alignment horizontal="right" vertical="center"/>
    </xf>
    <xf numFmtId="165" fontId="11" fillId="0" borderId="0" xfId="23" applyNumberFormat="1" applyFont="1" applyFill="1" applyBorder="1" applyAlignment="1">
      <alignment horizontal="right" vertical="center"/>
    </xf>
    <xf numFmtId="1" fontId="12" fillId="0" borderId="0" xfId="23" applyNumberFormat="1" applyFont="1" applyFill="1" applyBorder="1" applyAlignment="1">
      <alignment horizontal="right" vertical="center"/>
    </xf>
    <xf numFmtId="1" fontId="12" fillId="0" borderId="1" xfId="23" applyNumberFormat="1" applyFont="1" applyFill="1" applyBorder="1" applyAlignment="1">
      <alignment horizontal="right" vertical="center"/>
    </xf>
    <xf numFmtId="165" fontId="11" fillId="0" borderId="1" xfId="24" applyNumberFormat="1" applyFont="1" applyFill="1" applyBorder="1" applyAlignment="1">
      <alignment horizontal="right" vertical="center"/>
    </xf>
    <xf numFmtId="165" fontId="6" fillId="0" borderId="1" xfId="23" applyNumberFormat="1" applyBorder="1" applyAlignment="1">
      <alignment horizontal="right" vertical="center"/>
    </xf>
    <xf numFmtId="165" fontId="11" fillId="0" borderId="1" xfId="23" applyNumberFormat="1" applyFont="1" applyFill="1" applyBorder="1" applyAlignment="1">
      <alignment horizontal="right" vertical="center"/>
    </xf>
    <xf numFmtId="165" fontId="8" fillId="0" borderId="0" xfId="23" applyNumberFormat="1" applyFont="1" applyFill="1" applyBorder="1" applyAlignment="1">
      <alignment horizontal="center"/>
    </xf>
    <xf numFmtId="165" fontId="8" fillId="0" borderId="1" xfId="23" applyNumberFormat="1" applyFont="1" applyFill="1" applyBorder="1" applyAlignment="1">
      <alignment horizontal="center"/>
    </xf>
    <xf numFmtId="165" fontId="11" fillId="0" borderId="1" xfId="24" applyNumberFormat="1" applyFont="1" applyFill="1" applyBorder="1" applyAlignment="1">
      <alignment horizontal="center"/>
    </xf>
    <xf numFmtId="165" fontId="11" fillId="0" borderId="1" xfId="23" applyNumberFormat="1" applyFont="1" applyFill="1" applyBorder="1" applyAlignment="1"/>
    <xf numFmtId="165" fontId="13" fillId="0" borderId="0" xfId="24" applyNumberFormat="1" applyFont="1" applyFill="1" applyBorder="1" applyAlignment="1">
      <alignment horizontal="left"/>
    </xf>
    <xf numFmtId="165" fontId="13" fillId="0" borderId="0" xfId="23" applyNumberFormat="1" applyFont="1" applyFill="1" applyBorder="1" applyAlignment="1"/>
    <xf numFmtId="0" fontId="6" fillId="0" borderId="0" xfId="23" applyAlignment="1">
      <alignment horizontal="center"/>
    </xf>
    <xf numFmtId="0" fontId="6" fillId="0" borderId="0" xfId="23" applyAlignment="1">
      <alignment horizontal="left"/>
    </xf>
    <xf numFmtId="0" fontId="7" fillId="0" borderId="0" xfId="23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quotePrefix="1" applyFont="1"/>
    <xf numFmtId="0" fontId="8" fillId="0" borderId="0" xfId="23" applyFont="1"/>
    <xf numFmtId="0" fontId="7" fillId="0" borderId="0" xfId="23" applyFont="1"/>
    <xf numFmtId="0" fontId="8" fillId="0" borderId="0" xfId="23" applyFont="1" applyBorder="1" applyAlignment="1">
      <alignment horizontal="center"/>
    </xf>
    <xf numFmtId="0" fontId="8" fillId="0" borderId="0" xfId="23" applyFont="1" applyBorder="1" applyAlignment="1">
      <alignment horizontal="left"/>
    </xf>
    <xf numFmtId="0" fontId="6" fillId="0" borderId="0" xfId="23" applyBorder="1"/>
    <xf numFmtId="0" fontId="7" fillId="0" borderId="0" xfId="23" applyFont="1" applyBorder="1"/>
    <xf numFmtId="0" fontId="7" fillId="0" borderId="1" xfId="23" applyFont="1" applyBorder="1" applyAlignment="1">
      <alignment horizontal="right"/>
    </xf>
    <xf numFmtId="0" fontId="7" fillId="0" borderId="1" xfId="23" applyFont="1" applyBorder="1" applyAlignment="1">
      <alignment horizontal="center"/>
    </xf>
    <xf numFmtId="0" fontId="7" fillId="0" borderId="1" xfId="23" applyFont="1" applyBorder="1" applyAlignment="1">
      <alignment horizontal="left"/>
    </xf>
    <xf numFmtId="0" fontId="6" fillId="0" borderId="0" xfId="23" applyAlignment="1">
      <alignment wrapText="1"/>
    </xf>
    <xf numFmtId="0" fontId="7" fillId="0" borderId="0" xfId="23" applyFont="1" applyAlignment="1">
      <alignment wrapText="1"/>
    </xf>
    <xf numFmtId="1" fontId="7" fillId="0" borderId="0" xfId="23" applyNumberFormat="1" applyFont="1" applyBorder="1" applyAlignment="1">
      <alignment horizontal="right" wrapText="1"/>
    </xf>
    <xf numFmtId="0" fontId="7" fillId="0" borderId="0" xfId="23" applyFont="1" applyBorder="1" applyAlignment="1">
      <alignment horizontal="center" wrapText="1"/>
    </xf>
    <xf numFmtId="0" fontId="7" fillId="0" borderId="0" xfId="23" applyFont="1" applyBorder="1" applyAlignment="1">
      <alignment horizontal="left" wrapText="1"/>
    </xf>
    <xf numFmtId="1" fontId="7" fillId="0" borderId="0" xfId="23" applyNumberFormat="1" applyFont="1" applyBorder="1" applyAlignment="1">
      <alignment horizontal="right"/>
    </xf>
    <xf numFmtId="0" fontId="7" fillId="0" borderId="0" xfId="23" applyFont="1" applyBorder="1" applyAlignment="1">
      <alignment horizontal="center"/>
    </xf>
    <xf numFmtId="0" fontId="7" fillId="0" borderId="0" xfId="23" applyFont="1" applyBorder="1" applyAlignment="1">
      <alignment horizontal="left"/>
    </xf>
    <xf numFmtId="0" fontId="13" fillId="0" borderId="0" xfId="23" applyFont="1" applyBorder="1" applyAlignment="1">
      <alignment horizontal="left"/>
    </xf>
    <xf numFmtId="0" fontId="15" fillId="0" borderId="0" xfId="23" applyFont="1" applyBorder="1" applyAlignment="1">
      <alignment horizontal="left" wrapText="1"/>
    </xf>
    <xf numFmtId="0" fontId="6" fillId="0" borderId="0" xfId="23" applyFont="1" applyAlignment="1">
      <alignment horizontal="left"/>
    </xf>
    <xf numFmtId="1" fontId="7" fillId="0" borderId="1" xfId="23" applyNumberFormat="1" applyFont="1" applyFill="1" applyBorder="1" applyAlignment="1">
      <alignment horizontal="right" vertical="center"/>
    </xf>
    <xf numFmtId="165" fontId="13" fillId="0" borderId="1" xfId="24" applyNumberFormat="1" applyFont="1" applyFill="1" applyBorder="1" applyAlignment="1">
      <alignment horizontal="right" vertical="center"/>
    </xf>
    <xf numFmtId="165" fontId="6" fillId="0" borderId="1" xfId="23" applyNumberFormat="1" applyFont="1" applyBorder="1" applyAlignment="1">
      <alignment horizontal="right" vertical="center"/>
    </xf>
    <xf numFmtId="165" fontId="13" fillId="0" borderId="1" xfId="23" applyNumberFormat="1" applyFont="1" applyFill="1" applyBorder="1" applyAlignment="1">
      <alignment horizontal="right" vertical="center"/>
    </xf>
    <xf numFmtId="0" fontId="8" fillId="0" borderId="1" xfId="23" applyFont="1" applyBorder="1" applyAlignment="1">
      <alignment horizontal="center"/>
    </xf>
    <xf numFmtId="0" fontId="8" fillId="0" borderId="1" xfId="23" applyFont="1" applyBorder="1" applyAlignment="1">
      <alignment horizontal="left"/>
    </xf>
    <xf numFmtId="0" fontId="13" fillId="0" borderId="0" xfId="23" applyFont="1" applyAlignment="1">
      <alignment horizontal="center"/>
    </xf>
    <xf numFmtId="0" fontId="16" fillId="0" borderId="0" xfId="23" applyFont="1" applyBorder="1" applyAlignment="1">
      <alignment horizontal="left"/>
    </xf>
    <xf numFmtId="0" fontId="13" fillId="0" borderId="0" xfId="23" applyFont="1" applyBorder="1" applyAlignment="1">
      <alignment horizontal="center"/>
    </xf>
    <xf numFmtId="0" fontId="6" fillId="0" borderId="0" xfId="23" applyBorder="1" applyAlignment="1">
      <alignment horizontal="center"/>
    </xf>
    <xf numFmtId="0" fontId="6" fillId="0" borderId="0" xfId="23" applyBorder="1" applyAlignment="1">
      <alignment horizontal="left"/>
    </xf>
    <xf numFmtId="0" fontId="12" fillId="0" borderId="0" xfId="23" applyFont="1" applyBorder="1" applyAlignment="1">
      <alignment horizontal="right" vertical="center" textRotation="180"/>
    </xf>
    <xf numFmtId="0" fontId="8" fillId="0" borderId="0" xfId="23" applyFont="1" applyAlignment="1">
      <alignment horizontal="left"/>
    </xf>
    <xf numFmtId="0" fontId="17" fillId="0" borderId="0" xfId="23" applyFont="1"/>
    <xf numFmtId="165" fontId="7" fillId="0" borderId="0" xfId="23" applyNumberFormat="1" applyFont="1"/>
    <xf numFmtId="0" fontId="8" fillId="0" borderId="1" xfId="23" applyFont="1" applyBorder="1"/>
    <xf numFmtId="1" fontId="10" fillId="0" borderId="0" xfId="23" applyNumberFormat="1" applyFont="1" applyBorder="1" applyAlignment="1">
      <alignment horizontal="right"/>
    </xf>
    <xf numFmtId="165" fontId="8" fillId="0" borderId="0" xfId="23" quotePrefix="1" applyNumberFormat="1" applyFont="1" applyBorder="1" applyAlignment="1">
      <alignment horizontal="right"/>
    </xf>
    <xf numFmtId="0" fontId="8" fillId="0" borderId="0" xfId="23" applyFont="1" applyBorder="1" applyAlignment="1">
      <alignment horizontal="right"/>
    </xf>
    <xf numFmtId="0" fontId="10" fillId="0" borderId="0" xfId="23" applyFont="1" applyBorder="1" applyAlignment="1">
      <alignment wrapText="1"/>
    </xf>
    <xf numFmtId="165" fontId="18" fillId="0" borderId="0" xfId="23" applyNumberFormat="1" applyFont="1" applyBorder="1" applyAlignment="1">
      <alignment horizontal="right"/>
    </xf>
    <xf numFmtId="165" fontId="8" fillId="0" borderId="0" xfId="23" applyNumberFormat="1" applyFont="1" applyBorder="1" applyAlignment="1">
      <alignment horizontal="right"/>
    </xf>
    <xf numFmtId="0" fontId="11" fillId="0" borderId="0" xfId="23" applyFont="1" applyBorder="1" applyAlignment="1">
      <alignment horizontal="left"/>
    </xf>
    <xf numFmtId="0" fontId="11" fillId="0" borderId="0" xfId="23" applyFont="1" applyBorder="1"/>
    <xf numFmtId="165" fontId="10" fillId="0" borderId="0" xfId="23" applyNumberFormat="1" applyFont="1" applyBorder="1" applyAlignment="1">
      <alignment horizontal="right"/>
    </xf>
    <xf numFmtId="0" fontId="10" fillId="0" borderId="0" xfId="23" applyFont="1" applyBorder="1" applyAlignment="1">
      <alignment horizontal="right"/>
    </xf>
    <xf numFmtId="0" fontId="8" fillId="0" borderId="0" xfId="23" applyFont="1" applyBorder="1"/>
    <xf numFmtId="165" fontId="19" fillId="0" borderId="0" xfId="23" applyNumberFormat="1" applyFont="1" applyBorder="1" applyAlignment="1">
      <alignment horizontal="right"/>
    </xf>
    <xf numFmtId="0" fontId="8" fillId="0" borderId="0" xfId="23" applyFont="1" applyBorder="1" applyAlignment="1">
      <alignment wrapText="1"/>
    </xf>
    <xf numFmtId="0" fontId="6" fillId="0" borderId="0" xfId="23" applyFont="1" applyBorder="1" applyAlignment="1">
      <alignment horizontal="right" vertical="center"/>
    </xf>
    <xf numFmtId="0" fontId="12" fillId="0" borderId="0" xfId="23" applyFont="1" applyBorder="1" applyAlignment="1">
      <alignment horizontal="right" vertical="center"/>
    </xf>
    <xf numFmtId="0" fontId="16" fillId="0" borderId="0" xfId="23" applyFont="1" applyBorder="1" applyAlignment="1">
      <alignment horizontal="left" vertical="center"/>
    </xf>
    <xf numFmtId="0" fontId="12" fillId="0" borderId="1" xfId="23" applyFont="1" applyBorder="1" applyAlignment="1">
      <alignment horizontal="right" vertical="center"/>
    </xf>
    <xf numFmtId="0" fontId="7" fillId="0" borderId="1" xfId="23" applyFont="1" applyBorder="1"/>
    <xf numFmtId="0" fontId="16" fillId="0" borderId="0" xfId="23" applyFont="1" applyBorder="1"/>
    <xf numFmtId="0" fontId="13" fillId="0" borderId="0" xfId="23" applyFont="1" applyBorder="1"/>
    <xf numFmtId="0" fontId="9" fillId="0" borderId="0" xfId="23" applyFont="1"/>
    <xf numFmtId="0" fontId="9" fillId="0" borderId="0" xfId="23" applyFont="1" applyBorder="1"/>
    <xf numFmtId="0" fontId="20" fillId="0" borderId="0" xfId="23" applyFont="1" applyAlignment="1">
      <alignment horizontal="left"/>
    </xf>
    <xf numFmtId="0" fontId="6" fillId="0" borderId="2" xfId="23" applyFont="1" applyBorder="1" applyAlignment="1">
      <alignment horizontal="right" vertical="center"/>
    </xf>
    <xf numFmtId="0" fontId="7" fillId="0" borderId="0" xfId="23" applyFont="1" applyBorder="1" applyAlignment="1">
      <alignment horizontal="right" vertical="center"/>
    </xf>
    <xf numFmtId="0" fontId="7" fillId="0" borderId="1" xfId="23" applyFont="1" applyBorder="1" applyAlignment="1">
      <alignment horizontal="right" vertical="center"/>
    </xf>
    <xf numFmtId="165" fontId="18" fillId="0" borderId="0" xfId="23" applyNumberFormat="1" applyFont="1" applyBorder="1"/>
    <xf numFmtId="165" fontId="8" fillId="0" borderId="0" xfId="23" applyNumberFormat="1" applyFont="1" applyBorder="1"/>
    <xf numFmtId="165" fontId="10" fillId="0" borderId="0" xfId="23" applyNumberFormat="1" applyFont="1" applyBorder="1" applyAlignment="1">
      <alignment wrapText="1"/>
    </xf>
    <xf numFmtId="0" fontId="11" fillId="0" borderId="0" xfId="23" applyFont="1" applyBorder="1" applyAlignment="1">
      <alignment wrapText="1"/>
    </xf>
    <xf numFmtId="0" fontId="11" fillId="0" borderId="0" xfId="23" applyFont="1" applyAlignment="1">
      <alignment horizontal="left"/>
    </xf>
    <xf numFmtId="165" fontId="11" fillId="0" borderId="0" xfId="23" applyNumberFormat="1" applyFont="1" applyAlignment="1">
      <alignment horizontal="left"/>
    </xf>
    <xf numFmtId="0" fontId="6" fillId="0" borderId="0" xfId="23" applyFont="1" applyAlignment="1">
      <alignment horizontal="right" vertical="center"/>
    </xf>
    <xf numFmtId="168" fontId="14" fillId="0" borderId="0" xfId="27"/>
    <xf numFmtId="0" fontId="21" fillId="0" borderId="0" xfId="23" applyFont="1"/>
    <xf numFmtId="2" fontId="14" fillId="0" borderId="0" xfId="27" applyNumberFormat="1"/>
    <xf numFmtId="168" fontId="8" fillId="0" borderId="0" xfId="27" applyFont="1" applyProtection="1"/>
    <xf numFmtId="168" fontId="14" fillId="0" borderId="0" xfId="27" applyProtection="1"/>
    <xf numFmtId="168" fontId="14" fillId="0" borderId="0" xfId="27" applyFont="1"/>
    <xf numFmtId="168" fontId="22" fillId="0" borderId="0" xfId="27" applyFont="1"/>
    <xf numFmtId="168" fontId="14" fillId="0" borderId="0" xfId="27" applyBorder="1"/>
    <xf numFmtId="168" fontId="23" fillId="0" borderId="0" xfId="27" applyFont="1" applyAlignment="1" applyProtection="1">
      <alignment horizontal="right"/>
    </xf>
    <xf numFmtId="168" fontId="14" fillId="0" borderId="1" xfId="27" applyBorder="1"/>
    <xf numFmtId="168" fontId="24" fillId="0" borderId="1" xfId="27" applyFont="1" applyBorder="1" applyProtection="1"/>
    <xf numFmtId="168" fontId="24" fillId="0" borderId="1" xfId="27" applyFont="1" applyBorder="1"/>
    <xf numFmtId="2" fontId="24" fillId="0" borderId="1" xfId="27" applyNumberFormat="1" applyFont="1" applyBorder="1"/>
    <xf numFmtId="168" fontId="8" fillId="0" borderId="0" xfId="27" applyFont="1"/>
    <xf numFmtId="168" fontId="11" fillId="0" borderId="0" xfId="27" applyFont="1" applyAlignment="1" applyProtection="1">
      <alignment horizontal="right"/>
    </xf>
    <xf numFmtId="168" fontId="11" fillId="0" borderId="0" xfId="27" applyFont="1" applyAlignment="1" applyProtection="1">
      <alignment horizontal="left"/>
    </xf>
    <xf numFmtId="165" fontId="8" fillId="0" borderId="0" xfId="27" applyNumberFormat="1" applyFont="1" applyProtection="1"/>
    <xf numFmtId="2" fontId="8" fillId="0" borderId="0" xfId="27" applyNumberFormat="1" applyFont="1"/>
    <xf numFmtId="168" fontId="18" fillId="0" borderId="0" xfId="27" applyFont="1" applyProtection="1"/>
    <xf numFmtId="168" fontId="18" fillId="0" borderId="0" xfId="27" applyFont="1"/>
    <xf numFmtId="168" fontId="10" fillId="0" borderId="0" xfId="27" applyFont="1" applyProtection="1"/>
    <xf numFmtId="2" fontId="10" fillId="0" borderId="0" xfId="27" applyNumberFormat="1" applyFont="1"/>
    <xf numFmtId="168" fontId="8" fillId="0" borderId="0" xfId="27" applyNumberFormat="1" applyFont="1"/>
    <xf numFmtId="168" fontId="8" fillId="0" borderId="0" xfId="27" applyNumberFormat="1" applyFont="1" applyProtection="1"/>
    <xf numFmtId="168" fontId="25" fillId="0" borderId="0" xfId="27" applyFont="1"/>
    <xf numFmtId="0" fontId="26" fillId="0" borderId="0" xfId="23" applyFont="1" applyBorder="1" applyAlignment="1">
      <alignment horizontal="center"/>
    </xf>
    <xf numFmtId="168" fontId="25" fillId="0" borderId="0" xfId="27" applyFont="1" applyProtection="1"/>
    <xf numFmtId="168" fontId="27" fillId="0" borderId="0" xfId="27" applyFont="1"/>
    <xf numFmtId="168" fontId="11" fillId="0" borderId="0" xfId="27" applyFont="1"/>
    <xf numFmtId="168" fontId="23" fillId="0" borderId="0" xfId="27" applyFont="1"/>
    <xf numFmtId="168" fontId="11" fillId="0" borderId="0" xfId="27" applyFont="1" applyAlignment="1">
      <alignment horizontal="center"/>
    </xf>
    <xf numFmtId="168" fontId="11" fillId="0" borderId="0" xfId="27" applyFont="1" applyAlignment="1" applyProtection="1">
      <alignment horizontal="center"/>
    </xf>
    <xf numFmtId="168" fontId="8" fillId="0" borderId="0" xfId="27" applyFont="1" applyAlignment="1" applyProtection="1">
      <alignment horizontal="left"/>
    </xf>
    <xf numFmtId="2" fontId="11" fillId="0" borderId="0" xfId="27" applyNumberFormat="1" applyFont="1" applyAlignment="1">
      <alignment horizontal="center"/>
    </xf>
    <xf numFmtId="168" fontId="14" fillId="0" borderId="0" xfId="27" applyAlignment="1">
      <alignment horizontal="right"/>
    </xf>
    <xf numFmtId="168" fontId="11" fillId="0" borderId="1" xfId="27" applyFont="1" applyBorder="1" applyAlignment="1">
      <alignment horizontal="right"/>
    </xf>
    <xf numFmtId="168" fontId="11" fillId="0" borderId="1" xfId="27" applyFont="1" applyBorder="1" applyAlignment="1" applyProtection="1">
      <alignment horizontal="right"/>
    </xf>
    <xf numFmtId="168" fontId="8" fillId="0" borderId="1" xfId="27" applyFont="1" applyBorder="1" applyAlignment="1" applyProtection="1">
      <alignment horizontal="right"/>
    </xf>
    <xf numFmtId="168" fontId="14" fillId="0" borderId="1" xfId="27" applyFont="1" applyBorder="1" applyAlignment="1">
      <alignment horizontal="right"/>
    </xf>
    <xf numFmtId="168" fontId="14" fillId="0" borderId="1" xfId="27" applyBorder="1" applyAlignment="1">
      <alignment horizontal="right"/>
    </xf>
    <xf numFmtId="2" fontId="11" fillId="0" borderId="1" xfId="27" applyNumberFormat="1" applyFont="1" applyBorder="1" applyAlignment="1">
      <alignment horizontal="right"/>
    </xf>
    <xf numFmtId="168" fontId="14" fillId="0" borderId="0" xfId="27" applyBorder="1" applyAlignment="1">
      <alignment horizontal="right"/>
    </xf>
    <xf numFmtId="168" fontId="23" fillId="0" borderId="0" xfId="27" applyFont="1" applyBorder="1" applyAlignment="1">
      <alignment horizontal="right"/>
    </xf>
    <xf numFmtId="168" fontId="11" fillId="0" borderId="0" xfId="27" applyFont="1" applyAlignment="1">
      <alignment horizontal="right"/>
    </xf>
    <xf numFmtId="168" fontId="8" fillId="0" borderId="0" xfId="27" applyFont="1" applyAlignment="1" applyProtection="1">
      <alignment horizontal="right"/>
    </xf>
    <xf numFmtId="168" fontId="8" fillId="0" borderId="0" xfId="27" applyFont="1" applyAlignment="1">
      <alignment horizontal="right"/>
    </xf>
    <xf numFmtId="2" fontId="11" fillId="0" borderId="0" xfId="27" applyNumberFormat="1" applyFont="1" applyAlignment="1">
      <alignment horizontal="right"/>
    </xf>
    <xf numFmtId="168" fontId="23" fillId="0" borderId="0" xfId="27" applyFont="1" applyBorder="1"/>
    <xf numFmtId="168" fontId="23" fillId="0" borderId="0" xfId="27" applyFont="1" applyAlignment="1">
      <alignment horizontal="center"/>
    </xf>
    <xf numFmtId="168" fontId="23" fillId="0" borderId="0" xfId="27" applyFont="1" applyAlignment="1" applyProtection="1">
      <alignment horizontal="center"/>
    </xf>
    <xf numFmtId="168" fontId="23" fillId="0" borderId="0" xfId="27" applyFont="1" applyAlignment="1" applyProtection="1">
      <alignment horizontal="left"/>
    </xf>
    <xf numFmtId="168" fontId="14" fillId="0" borderId="0" xfId="27" applyAlignment="1">
      <alignment horizontal="center"/>
    </xf>
    <xf numFmtId="2" fontId="23" fillId="0" borderId="0" xfId="27" applyNumberFormat="1" applyFont="1" applyAlignment="1">
      <alignment horizontal="center"/>
    </xf>
    <xf numFmtId="168" fontId="23" fillId="0" borderId="1" xfId="27" applyFont="1" applyBorder="1" applyAlignment="1">
      <alignment horizontal="center"/>
    </xf>
    <xf numFmtId="168" fontId="23" fillId="0" borderId="1" xfId="27" applyFont="1" applyBorder="1" applyAlignment="1" applyProtection="1">
      <alignment horizontal="center"/>
    </xf>
    <xf numFmtId="168" fontId="23" fillId="0" borderId="1" xfId="27" applyFont="1" applyBorder="1" applyAlignment="1" applyProtection="1">
      <alignment horizontal="left"/>
    </xf>
    <xf numFmtId="168" fontId="14" fillId="0" borderId="1" xfId="27" applyBorder="1" applyAlignment="1">
      <alignment horizontal="center"/>
    </xf>
    <xf numFmtId="2" fontId="23" fillId="0" borderId="1" xfId="27" applyNumberFormat="1" applyFont="1" applyBorder="1" applyAlignment="1">
      <alignment horizontal="center"/>
    </xf>
    <xf numFmtId="168" fontId="23" fillId="0" borderId="0" xfId="27" applyFont="1" applyBorder="1" applyAlignment="1">
      <alignment horizontal="center"/>
    </xf>
    <xf numFmtId="168" fontId="23" fillId="0" borderId="0" xfId="27" applyFont="1" applyBorder="1" applyAlignment="1" applyProtection="1">
      <alignment horizontal="center"/>
    </xf>
    <xf numFmtId="168" fontId="23" fillId="0" borderId="0" xfId="27" applyFont="1" applyBorder="1" applyAlignment="1" applyProtection="1">
      <alignment horizontal="left"/>
    </xf>
    <xf numFmtId="168" fontId="14" fillId="0" borderId="0" xfId="27" applyBorder="1" applyAlignment="1">
      <alignment horizontal="center"/>
    </xf>
    <xf numFmtId="2" fontId="23" fillId="0" borderId="0" xfId="27" applyNumberFormat="1" applyFont="1" applyBorder="1" applyAlignment="1">
      <alignment horizontal="center"/>
    </xf>
    <xf numFmtId="168" fontId="23" fillId="0" borderId="0" xfId="27" applyFont="1" applyAlignment="1">
      <alignment horizontal="left"/>
    </xf>
    <xf numFmtId="168" fontId="14" fillId="0" borderId="2" xfId="27" applyBorder="1" applyAlignment="1">
      <alignment horizontal="center"/>
    </xf>
    <xf numFmtId="168" fontId="23" fillId="0" borderId="2" xfId="27" applyFont="1" applyBorder="1" applyAlignment="1">
      <alignment horizontal="left"/>
    </xf>
    <xf numFmtId="168" fontId="14" fillId="0" borderId="0" xfId="27" applyAlignment="1"/>
    <xf numFmtId="2" fontId="14" fillId="0" borderId="0" xfId="27" applyNumberFormat="1" applyAlignment="1">
      <alignment horizontal="center"/>
    </xf>
    <xf numFmtId="168" fontId="14" fillId="0" borderId="2" xfId="27" applyBorder="1"/>
    <xf numFmtId="168" fontId="28" fillId="0" borderId="2" xfId="27" applyFont="1" applyBorder="1" applyAlignment="1">
      <alignment horizontal="left"/>
    </xf>
    <xf numFmtId="168" fontId="23" fillId="0" borderId="2" xfId="27" applyFont="1" applyBorder="1" applyAlignment="1" applyProtection="1">
      <alignment horizontal="left"/>
    </xf>
    <xf numFmtId="168" fontId="23" fillId="0" borderId="2" xfId="27" applyFont="1" applyBorder="1" applyAlignment="1" applyProtection="1">
      <alignment horizontal="center"/>
    </xf>
    <xf numFmtId="168" fontId="23" fillId="0" borderId="2" xfId="27" applyFont="1" applyBorder="1"/>
    <xf numFmtId="2" fontId="14" fillId="0" borderId="2" xfId="27" applyNumberFormat="1" applyBorder="1"/>
    <xf numFmtId="168" fontId="28" fillId="0" borderId="1" xfId="27" applyFont="1" applyBorder="1" applyAlignment="1" applyProtection="1">
      <alignment horizontal="left"/>
    </xf>
    <xf numFmtId="0" fontId="16" fillId="0" borderId="1" xfId="23" applyFont="1" applyBorder="1"/>
    <xf numFmtId="2" fontId="14" fillId="0" borderId="1" xfId="27" applyNumberFormat="1" applyBorder="1"/>
    <xf numFmtId="168" fontId="28" fillId="0" borderId="0" xfId="27" applyFont="1" applyBorder="1" applyAlignment="1" applyProtection="1">
      <alignment horizontal="left"/>
    </xf>
    <xf numFmtId="2" fontId="14" fillId="0" borderId="0" xfId="27" applyNumberFormat="1" applyBorder="1"/>
    <xf numFmtId="168" fontId="28" fillId="0" borderId="0" xfId="27" applyFont="1" applyAlignment="1">
      <alignment horizontal="left"/>
    </xf>
    <xf numFmtId="1" fontId="7" fillId="0" borderId="0" xfId="27" applyNumberFormat="1" applyFont="1"/>
    <xf numFmtId="0" fontId="6" fillId="0" borderId="0" xfId="23" applyAlignment="1">
      <alignment horizontal="right"/>
    </xf>
    <xf numFmtId="0" fontId="7" fillId="0" borderId="0" xfId="23" applyFont="1" applyAlignment="1">
      <alignment horizontal="right"/>
    </xf>
    <xf numFmtId="165" fontId="7" fillId="0" borderId="0" xfId="23" applyNumberFormat="1" applyFont="1" applyAlignment="1">
      <alignment horizontal="right"/>
    </xf>
    <xf numFmtId="0" fontId="7" fillId="0" borderId="0" xfId="23" applyFont="1" applyBorder="1" applyAlignment="1">
      <alignment horizontal="right"/>
    </xf>
    <xf numFmtId="165" fontId="7" fillId="0" borderId="0" xfId="23" applyNumberFormat="1" applyFont="1" applyBorder="1" applyAlignment="1">
      <alignment horizontal="right"/>
    </xf>
    <xf numFmtId="0" fontId="29" fillId="0" borderId="0" xfId="23" applyFont="1" applyAlignment="1">
      <alignment horizontal="left"/>
    </xf>
    <xf numFmtId="0" fontId="15" fillId="0" borderId="0" xfId="23" applyFont="1" applyBorder="1" applyAlignment="1">
      <alignment horizontal="right"/>
    </xf>
    <xf numFmtId="1" fontId="6" fillId="0" borderId="0" xfId="23" applyNumberFormat="1"/>
    <xf numFmtId="1" fontId="8" fillId="0" borderId="0" xfId="23" applyNumberFormat="1" applyFont="1" applyBorder="1" applyAlignment="1">
      <alignment horizontal="right"/>
    </xf>
    <xf numFmtId="0" fontId="25" fillId="0" borderId="0" xfId="23" applyFont="1" applyBorder="1" applyAlignment="1">
      <alignment horizontal="right"/>
    </xf>
    <xf numFmtId="1" fontId="30" fillId="0" borderId="0" xfId="23" applyNumberFormat="1" applyFont="1" applyBorder="1" applyAlignment="1">
      <alignment horizontal="right"/>
    </xf>
    <xf numFmtId="1" fontId="8" fillId="0" borderId="0" xfId="23" applyNumberFormat="1" applyFont="1" applyBorder="1"/>
    <xf numFmtId="0" fontId="8" fillId="0" borderId="1" xfId="23" applyFont="1" applyBorder="1" applyAlignment="1">
      <alignment horizontal="right"/>
    </xf>
    <xf numFmtId="165" fontId="8" fillId="0" borderId="0" xfId="23" applyNumberFormat="1" applyFont="1" applyBorder="1" applyAlignment="1">
      <alignment horizontal="center"/>
    </xf>
    <xf numFmtId="0" fontId="6" fillId="0" borderId="0" xfId="23" applyBorder="1" applyAlignment="1">
      <alignment horizontal="right"/>
    </xf>
    <xf numFmtId="0" fontId="11" fillId="0" borderId="0" xfId="23" applyFont="1" applyBorder="1" applyAlignment="1">
      <alignment horizontal="right"/>
    </xf>
    <xf numFmtId="165" fontId="8" fillId="0" borderId="2" xfId="23" applyNumberFormat="1" applyFont="1" applyBorder="1" applyAlignment="1">
      <alignment horizontal="right"/>
    </xf>
    <xf numFmtId="165" fontId="11" fillId="0" borderId="2" xfId="23" applyNumberFormat="1" applyFont="1" applyBorder="1" applyAlignment="1">
      <alignment horizontal="left"/>
    </xf>
    <xf numFmtId="165" fontId="11" fillId="0" borderId="0" xfId="23" applyNumberFormat="1" applyFont="1" applyBorder="1" applyAlignment="1">
      <alignment horizontal="right"/>
    </xf>
    <xf numFmtId="165" fontId="11" fillId="0" borderId="2" xfId="23" applyNumberFormat="1" applyFont="1" applyBorder="1" applyAlignment="1">
      <alignment horizontal="right"/>
    </xf>
    <xf numFmtId="0" fontId="11" fillId="0" borderId="2" xfId="23" applyFont="1" applyBorder="1" applyAlignment="1">
      <alignment horizontal="right"/>
    </xf>
    <xf numFmtId="0" fontId="11" fillId="0" borderId="2" xfId="23" applyFont="1" applyBorder="1" applyAlignment="1">
      <alignment horizontal="left"/>
    </xf>
    <xf numFmtId="0" fontId="8" fillId="0" borderId="2" xfId="23" applyFont="1" applyBorder="1" applyAlignment="1">
      <alignment horizontal="right"/>
    </xf>
    <xf numFmtId="0" fontId="8" fillId="0" borderId="2" xfId="23" applyFont="1" applyBorder="1" applyAlignment="1">
      <alignment horizontal="left"/>
    </xf>
    <xf numFmtId="165" fontId="8" fillId="0" borderId="1" xfId="23" applyNumberFormat="1" applyFont="1" applyBorder="1" applyAlignment="1">
      <alignment horizontal="right"/>
    </xf>
    <xf numFmtId="0" fontId="6" fillId="0" borderId="1" xfId="23" applyBorder="1" applyAlignment="1">
      <alignment horizontal="right"/>
    </xf>
    <xf numFmtId="165" fontId="6" fillId="0" borderId="0" xfId="23" applyNumberFormat="1" applyAlignment="1">
      <alignment horizontal="center"/>
    </xf>
    <xf numFmtId="165" fontId="7" fillId="0" borderId="0" xfId="23" applyNumberFormat="1" applyFont="1" applyAlignment="1">
      <alignment horizontal="center"/>
    </xf>
    <xf numFmtId="165" fontId="15" fillId="0" borderId="0" xfId="23" applyNumberFormat="1" applyFont="1" applyAlignment="1">
      <alignment horizontal="center"/>
    </xf>
    <xf numFmtId="0" fontId="15" fillId="0" borderId="0" xfId="23" applyFont="1" applyAlignment="1">
      <alignment horizontal="center"/>
    </xf>
    <xf numFmtId="0" fontId="10" fillId="0" borderId="0" xfId="23" applyFont="1" applyAlignment="1">
      <alignment horizontal="center"/>
    </xf>
    <xf numFmtId="0" fontId="8" fillId="0" borderId="0" xfId="23" quotePrefix="1" applyFont="1" applyAlignment="1">
      <alignment horizontal="left"/>
    </xf>
    <xf numFmtId="0" fontId="10" fillId="0" borderId="0" xfId="23" applyFont="1"/>
    <xf numFmtId="165" fontId="7" fillId="0" borderId="1" xfId="23" applyNumberFormat="1" applyFont="1" applyBorder="1" applyAlignment="1">
      <alignment horizontal="center"/>
    </xf>
    <xf numFmtId="165" fontId="25" fillId="0" borderId="0" xfId="23" applyNumberFormat="1" applyFont="1" applyBorder="1" applyAlignment="1">
      <alignment horizontal="right"/>
    </xf>
    <xf numFmtId="165" fontId="31" fillId="0" borderId="0" xfId="23" applyNumberFormat="1" applyFont="1" applyBorder="1" applyAlignment="1">
      <alignment horizontal="right"/>
    </xf>
    <xf numFmtId="165" fontId="6" fillId="0" borderId="0" xfId="23" applyNumberFormat="1" applyBorder="1" applyAlignment="1">
      <alignment horizontal="center"/>
    </xf>
    <xf numFmtId="168" fontId="8" fillId="0" borderId="0" xfId="27" applyFont="1" applyBorder="1" applyAlignment="1" applyProtection="1">
      <alignment horizontal="right"/>
    </xf>
    <xf numFmtId="0" fontId="6" fillId="0" borderId="1" xfId="23" applyBorder="1"/>
    <xf numFmtId="165" fontId="6" fillId="0" borderId="1" xfId="23" applyNumberFormat="1" applyBorder="1" applyAlignment="1">
      <alignment horizontal="center"/>
    </xf>
    <xf numFmtId="0" fontId="6" fillId="0" borderId="1" xfId="23" applyBorder="1" applyAlignment="1">
      <alignment horizontal="center"/>
    </xf>
    <xf numFmtId="165" fontId="8" fillId="0" borderId="1" xfId="23" applyNumberFormat="1" applyFont="1" applyBorder="1" applyAlignment="1">
      <alignment horizontal="center"/>
    </xf>
    <xf numFmtId="165" fontId="7" fillId="0" borderId="0" xfId="23" applyNumberFormat="1" applyFont="1" applyBorder="1" applyAlignment="1">
      <alignment horizontal="center"/>
    </xf>
    <xf numFmtId="0" fontId="6" fillId="0" borderId="2" xfId="23" applyBorder="1"/>
    <xf numFmtId="0" fontId="7" fillId="0" borderId="2" xfId="23" applyFont="1" applyBorder="1"/>
    <xf numFmtId="165" fontId="7" fillId="0" borderId="2" xfId="23" applyNumberFormat="1" applyFont="1" applyBorder="1" applyAlignment="1">
      <alignment horizontal="center"/>
    </xf>
    <xf numFmtId="0" fontId="7" fillId="0" borderId="2" xfId="23" applyFont="1" applyBorder="1" applyAlignment="1">
      <alignment horizontal="left"/>
    </xf>
    <xf numFmtId="0" fontId="7" fillId="0" borderId="2" xfId="23" applyFont="1" applyBorder="1" applyAlignment="1">
      <alignment horizontal="center"/>
    </xf>
    <xf numFmtId="168" fontId="11" fillId="0" borderId="1" xfId="27" applyFont="1" applyBorder="1" applyAlignment="1" applyProtection="1">
      <alignment horizontal="left"/>
    </xf>
    <xf numFmtId="0" fontId="13" fillId="0" borderId="2" xfId="23" applyFont="1" applyBorder="1"/>
    <xf numFmtId="0" fontId="15" fillId="0" borderId="2" xfId="23" applyFont="1" applyBorder="1" applyAlignment="1">
      <alignment horizontal="left"/>
    </xf>
    <xf numFmtId="0" fontId="13" fillId="0" borderId="2" xfId="23" applyFont="1" applyBorder="1" applyAlignment="1">
      <alignment horizontal="left"/>
    </xf>
    <xf numFmtId="0" fontId="8" fillId="0" borderId="0" xfId="23" quotePrefix="1" applyFont="1" applyBorder="1"/>
    <xf numFmtId="0" fontId="32" fillId="0" borderId="0" xfId="23" applyFont="1" applyBorder="1"/>
    <xf numFmtId="165" fontId="8" fillId="0" borderId="0" xfId="23" applyNumberFormat="1" applyFont="1" applyBorder="1" applyAlignment="1">
      <alignment horizontal="left"/>
    </xf>
    <xf numFmtId="0" fontId="10" fillId="0" borderId="0" xfId="23" applyFont="1" applyBorder="1"/>
    <xf numFmtId="0" fontId="10" fillId="0" borderId="1" xfId="23" applyFont="1" applyBorder="1"/>
    <xf numFmtId="165" fontId="33" fillId="0" borderId="0" xfId="23" applyNumberFormat="1" applyFont="1" applyBorder="1" applyAlignment="1">
      <alignment horizontal="right"/>
    </xf>
    <xf numFmtId="0" fontId="18" fillId="0" borderId="0" xfId="23" applyFont="1" applyBorder="1"/>
    <xf numFmtId="0" fontId="18" fillId="0" borderId="0" xfId="23" applyFont="1" applyBorder="1" applyAlignment="1">
      <alignment wrapText="1"/>
    </xf>
    <xf numFmtId="0" fontId="34" fillId="0" borderId="0" xfId="23" applyFont="1" applyBorder="1" applyAlignment="1">
      <alignment wrapText="1"/>
    </xf>
    <xf numFmtId="0" fontId="11" fillId="0" borderId="0" xfId="23" applyFont="1"/>
    <xf numFmtId="0" fontId="7" fillId="0" borderId="0" xfId="23" applyFont="1" applyAlignment="1">
      <alignment horizontal="right" vertical="center"/>
    </xf>
    <xf numFmtId="165" fontId="6" fillId="0" borderId="0" xfId="23" applyNumberFormat="1" applyBorder="1" applyAlignment="1">
      <alignment horizontal="left"/>
    </xf>
    <xf numFmtId="165" fontId="6" fillId="0" borderId="0" xfId="23" applyNumberFormat="1" applyAlignment="1">
      <alignment horizontal="left"/>
    </xf>
    <xf numFmtId="165" fontId="35" fillId="0" borderId="0" xfId="23" applyNumberFormat="1" applyFont="1" applyBorder="1" applyAlignment="1">
      <alignment horizontal="right"/>
    </xf>
    <xf numFmtId="165" fontId="8" fillId="0" borderId="0" xfId="23" quotePrefix="1" applyNumberFormat="1" applyFont="1" applyBorder="1" applyAlignment="1">
      <alignment horizontal="left"/>
    </xf>
    <xf numFmtId="165" fontId="7" fillId="0" borderId="0" xfId="23" applyNumberFormat="1" applyFont="1" applyBorder="1" applyAlignment="1">
      <alignment horizontal="left"/>
    </xf>
    <xf numFmtId="165" fontId="35" fillId="0" borderId="1" xfId="23" applyNumberFormat="1" applyFont="1" applyBorder="1" applyAlignment="1">
      <alignment horizontal="right"/>
    </xf>
    <xf numFmtId="165" fontId="18" fillId="0" borderId="1" xfId="23" applyNumberFormat="1" applyFont="1" applyBorder="1" applyAlignment="1">
      <alignment horizontal="right"/>
    </xf>
    <xf numFmtId="165" fontId="10" fillId="0" borderId="1" xfId="23" applyNumberFormat="1" applyFont="1" applyBorder="1" applyAlignment="1">
      <alignment horizontal="left"/>
    </xf>
    <xf numFmtId="165" fontId="10" fillId="0" borderId="0" xfId="23" applyNumberFormat="1" applyFont="1" applyAlignment="1">
      <alignment horizontal="left" wrapText="1"/>
    </xf>
    <xf numFmtId="165" fontId="11" fillId="0" borderId="0" xfId="23" applyNumberFormat="1" applyFont="1" applyBorder="1" applyAlignment="1">
      <alignment horizontal="left" wrapText="1"/>
    </xf>
    <xf numFmtId="165" fontId="10" fillId="0" borderId="0" xfId="23" applyNumberFormat="1" applyFont="1" applyBorder="1" applyAlignment="1">
      <alignment horizontal="left" wrapText="1"/>
    </xf>
    <xf numFmtId="1" fontId="11" fillId="0" borderId="0" xfId="23" applyNumberFormat="1" applyFont="1" applyBorder="1" applyAlignment="1">
      <alignment horizontal="left"/>
    </xf>
    <xf numFmtId="165" fontId="11" fillId="0" borderId="0" xfId="23" applyNumberFormat="1" applyFont="1" applyBorder="1" applyAlignment="1">
      <alignment horizontal="left"/>
    </xf>
    <xf numFmtId="1" fontId="6" fillId="0" borderId="0" xfId="23" applyNumberFormat="1" applyAlignment="1">
      <alignment horizontal="right"/>
    </xf>
    <xf numFmtId="0" fontId="11" fillId="0" borderId="3" xfId="23" applyFont="1" applyBorder="1" applyAlignment="1">
      <alignment horizontal="left"/>
    </xf>
    <xf numFmtId="1" fontId="11" fillId="0" borderId="3" xfId="23" applyNumberFormat="1" applyFont="1" applyBorder="1" applyAlignment="1">
      <alignment horizontal="left"/>
    </xf>
    <xf numFmtId="1" fontId="6" fillId="0" borderId="0" xfId="23" applyNumberFormat="1" applyFont="1" applyAlignment="1">
      <alignment horizontal="right" vertical="center"/>
    </xf>
    <xf numFmtId="1" fontId="7" fillId="0" borderId="1" xfId="23" applyNumberFormat="1" applyFont="1" applyBorder="1" applyAlignment="1">
      <alignment horizontal="right" vertical="center"/>
    </xf>
    <xf numFmtId="165" fontId="7" fillId="0" borderId="1" xfId="23" applyNumberFormat="1" applyFont="1" applyBorder="1" applyAlignment="1">
      <alignment horizontal="right"/>
    </xf>
    <xf numFmtId="165" fontId="7" fillId="0" borderId="1" xfId="23" applyNumberFormat="1" applyFont="1" applyBorder="1" applyAlignment="1">
      <alignment horizontal="left"/>
    </xf>
    <xf numFmtId="165" fontId="16" fillId="0" borderId="0" xfId="23" applyNumberFormat="1" applyFont="1" applyBorder="1" applyAlignment="1">
      <alignment horizontal="left"/>
    </xf>
    <xf numFmtId="165" fontId="13" fillId="0" borderId="0" xfId="23" applyNumberFormat="1" applyFont="1" applyBorder="1" applyAlignment="1">
      <alignment horizontal="left"/>
    </xf>
    <xf numFmtId="1" fontId="36" fillId="0" borderId="0" xfId="23" applyNumberFormat="1" applyFont="1" applyAlignment="1">
      <alignment horizontal="right"/>
    </xf>
    <xf numFmtId="0" fontId="26" fillId="0" borderId="0" xfId="23" applyFont="1"/>
    <xf numFmtId="0" fontId="26" fillId="0" borderId="0" xfId="23" applyFont="1" applyAlignment="1">
      <alignment horizontal="right"/>
    </xf>
    <xf numFmtId="1" fontId="26" fillId="0" borderId="0" xfId="23" applyNumberFormat="1" applyFont="1" applyAlignment="1">
      <alignment horizontal="right"/>
    </xf>
    <xf numFmtId="1" fontId="37" fillId="0" borderId="0" xfId="23" applyNumberFormat="1" applyFont="1" applyAlignment="1">
      <alignment horizontal="right"/>
    </xf>
    <xf numFmtId="0" fontId="26" fillId="0" borderId="0" xfId="23" applyFont="1" applyAlignment="1">
      <alignment horizontal="left"/>
    </xf>
    <xf numFmtId="0" fontId="26" fillId="0" borderId="0" xfId="23" quotePrefix="1" applyFont="1" applyAlignment="1">
      <alignment horizontal="left"/>
    </xf>
    <xf numFmtId="0" fontId="37" fillId="0" borderId="0" xfId="23" applyFont="1" applyBorder="1" applyAlignment="1">
      <alignment horizontal="right"/>
    </xf>
    <xf numFmtId="0" fontId="26" fillId="0" borderId="0" xfId="23" applyFont="1" applyBorder="1" applyAlignment="1">
      <alignment horizontal="right"/>
    </xf>
    <xf numFmtId="1" fontId="26" fillId="0" borderId="0" xfId="23" applyNumberFormat="1" applyFont="1" applyBorder="1" applyAlignment="1">
      <alignment horizontal="right"/>
    </xf>
    <xf numFmtId="0" fontId="26" fillId="0" borderId="4" xfId="23" applyFont="1" applyBorder="1" applyAlignment="1">
      <alignment horizontal="right"/>
    </xf>
    <xf numFmtId="0" fontId="38" fillId="0" borderId="0" xfId="23" applyFont="1" applyBorder="1" applyAlignment="1">
      <alignment horizontal="right"/>
    </xf>
    <xf numFmtId="0" fontId="26" fillId="0" borderId="0" xfId="23" applyFont="1" applyAlignment="1">
      <alignment horizontal="left" wrapText="1"/>
    </xf>
    <xf numFmtId="1" fontId="37" fillId="0" borderId="4" xfId="23" applyNumberFormat="1" applyFont="1" applyBorder="1" applyAlignment="1">
      <alignment horizontal="right"/>
    </xf>
    <xf numFmtId="0" fontId="37" fillId="0" borderId="4" xfId="23" applyFont="1" applyBorder="1" applyAlignment="1">
      <alignment horizontal="right"/>
    </xf>
    <xf numFmtId="0" fontId="26" fillId="0" borderId="0" xfId="23" applyFont="1" applyAlignment="1">
      <alignment wrapText="1"/>
    </xf>
    <xf numFmtId="0" fontId="39" fillId="0" borderId="0" xfId="23" applyNumberFormat="1" applyFont="1" applyAlignment="1">
      <alignment horizontal="right"/>
    </xf>
    <xf numFmtId="0" fontId="40" fillId="0" borderId="0" xfId="23" applyNumberFormat="1" applyFont="1" applyAlignment="1">
      <alignment horizontal="right"/>
    </xf>
    <xf numFmtId="0" fontId="37" fillId="0" borderId="4" xfId="23" applyNumberFormat="1" applyFont="1" applyBorder="1" applyAlignment="1">
      <alignment horizontal="right"/>
    </xf>
    <xf numFmtId="0" fontId="39" fillId="0" borderId="5" xfId="23" applyFont="1" applyBorder="1" applyAlignment="1">
      <alignment horizontal="right"/>
    </xf>
    <xf numFmtId="0" fontId="39" fillId="0" borderId="0" xfId="23" applyFont="1" applyAlignment="1">
      <alignment horizontal="left" wrapText="1"/>
    </xf>
    <xf numFmtId="0" fontId="26" fillId="0" borderId="0" xfId="23" applyFont="1" applyBorder="1"/>
    <xf numFmtId="0" fontId="41" fillId="0" borderId="0" xfId="23" applyNumberFormat="1" applyFont="1" applyAlignment="1">
      <alignment horizontal="right"/>
    </xf>
    <xf numFmtId="0" fontId="41" fillId="0" borderId="5" xfId="23" applyFont="1" applyBorder="1" applyAlignment="1">
      <alignment horizontal="right"/>
    </xf>
    <xf numFmtId="0" fontId="41" fillId="0" borderId="0" xfId="23" applyFont="1" applyAlignment="1">
      <alignment horizontal="left" wrapText="1"/>
    </xf>
    <xf numFmtId="0" fontId="39" fillId="0" borderId="2" xfId="23" applyFont="1" applyBorder="1" applyAlignment="1">
      <alignment horizontal="right"/>
    </xf>
    <xf numFmtId="0" fontId="26" fillId="0" borderId="2" xfId="23" applyFont="1" applyBorder="1" applyAlignment="1">
      <alignment horizontal="right"/>
    </xf>
    <xf numFmtId="165" fontId="26" fillId="0" borderId="2" xfId="23" applyNumberFormat="1" applyFont="1" applyBorder="1" applyAlignment="1">
      <alignment horizontal="right"/>
    </xf>
    <xf numFmtId="165" fontId="37" fillId="0" borderId="6" xfId="23" applyNumberFormat="1" applyFont="1" applyBorder="1" applyAlignment="1">
      <alignment horizontal="right"/>
    </xf>
    <xf numFmtId="0" fontId="26" fillId="0" borderId="5" xfId="23" applyFont="1" applyBorder="1" applyAlignment="1">
      <alignment horizontal="right"/>
    </xf>
    <xf numFmtId="0" fontId="26" fillId="0" borderId="2" xfId="23" applyFont="1" applyBorder="1" applyAlignment="1">
      <alignment horizontal="left" wrapText="1"/>
    </xf>
    <xf numFmtId="165" fontId="26" fillId="0" borderId="0" xfId="23" applyNumberFormat="1" applyFont="1" applyAlignment="1">
      <alignment horizontal="right"/>
    </xf>
    <xf numFmtId="165" fontId="37" fillId="0" borderId="4" xfId="23" applyNumberFormat="1" applyFont="1" applyBorder="1" applyAlignment="1">
      <alignment horizontal="right"/>
    </xf>
    <xf numFmtId="0" fontId="26" fillId="0" borderId="0" xfId="23" applyFont="1" applyAlignment="1">
      <alignment horizontal="center"/>
    </xf>
    <xf numFmtId="1" fontId="26" fillId="0" borderId="2" xfId="23" applyNumberFormat="1" applyFont="1" applyBorder="1" applyAlignment="1">
      <alignment horizontal="right"/>
    </xf>
    <xf numFmtId="1" fontId="37" fillId="0" borderId="6" xfId="23" applyNumberFormat="1" applyFont="1" applyBorder="1" applyAlignment="1">
      <alignment horizontal="right"/>
    </xf>
    <xf numFmtId="0" fontId="21" fillId="0" borderId="7" xfId="23" applyFont="1" applyBorder="1" applyAlignment="1">
      <alignment horizontal="right"/>
    </xf>
    <xf numFmtId="1" fontId="21" fillId="0" borderId="7" xfId="23" applyNumberFormat="1" applyFont="1" applyBorder="1" applyAlignment="1">
      <alignment horizontal="right"/>
    </xf>
    <xf numFmtId="1" fontId="42" fillId="0" borderId="8" xfId="23" applyNumberFormat="1" applyFont="1" applyBorder="1" applyAlignment="1">
      <alignment horizontal="right"/>
    </xf>
    <xf numFmtId="0" fontId="26" fillId="0" borderId="0" xfId="23" applyFont="1" applyBorder="1" applyAlignment="1">
      <alignment horizontal="left" wrapText="1"/>
    </xf>
    <xf numFmtId="1" fontId="43" fillId="0" borderId="0" xfId="23" applyNumberFormat="1" applyFont="1" applyBorder="1" applyAlignment="1">
      <alignment horizontal="right"/>
    </xf>
    <xf numFmtId="1" fontId="37" fillId="0" borderId="0" xfId="23" applyNumberFormat="1" applyFont="1" applyBorder="1" applyAlignment="1">
      <alignment horizontal="right"/>
    </xf>
    <xf numFmtId="1" fontId="26" fillId="0" borderId="9" xfId="23" applyNumberFormat="1" applyFont="1" applyBorder="1" applyAlignment="1">
      <alignment horizontal="right"/>
    </xf>
    <xf numFmtId="1" fontId="37" fillId="0" borderId="10" xfId="23" applyNumberFormat="1" applyFont="1" applyBorder="1" applyAlignment="1">
      <alignment horizontal="right"/>
    </xf>
    <xf numFmtId="0" fontId="26" fillId="0" borderId="9" xfId="23" applyFont="1" applyBorder="1" applyAlignment="1">
      <alignment horizontal="right"/>
    </xf>
    <xf numFmtId="0" fontId="44" fillId="0" borderId="9" xfId="23" applyFont="1" applyBorder="1" applyAlignment="1">
      <alignment horizontal="left" wrapText="1"/>
    </xf>
    <xf numFmtId="1" fontId="39" fillId="0" borderId="0" xfId="23" applyNumberFormat="1" applyFont="1" applyAlignment="1">
      <alignment horizontal="right"/>
    </xf>
    <xf numFmtId="0" fontId="26" fillId="0" borderId="0" xfId="23" applyFont="1" applyAlignment="1">
      <alignment horizontal="center" wrapText="1"/>
    </xf>
    <xf numFmtId="165" fontId="45" fillId="0" borderId="4" xfId="23" applyNumberFormat="1" applyFont="1" applyBorder="1" applyAlignment="1">
      <alignment horizontal="right" wrapText="1"/>
    </xf>
    <xf numFmtId="0" fontId="45" fillId="0" borderId="0" xfId="23" applyFont="1" applyAlignment="1">
      <alignment horizontal="right" wrapText="1"/>
    </xf>
    <xf numFmtId="0" fontId="45" fillId="0" borderId="0" xfId="23" applyFont="1" applyAlignment="1">
      <alignment horizontal="left" wrapText="1"/>
    </xf>
    <xf numFmtId="1" fontId="39" fillId="0" borderId="0" xfId="23" applyNumberFormat="1" applyFont="1" applyBorder="1" applyAlignment="1">
      <alignment horizontal="right"/>
    </xf>
    <xf numFmtId="1" fontId="46" fillId="0" borderId="0" xfId="23" applyNumberFormat="1" applyFont="1" applyAlignment="1">
      <alignment horizontal="right"/>
    </xf>
    <xf numFmtId="165" fontId="47" fillId="0" borderId="4" xfId="23" applyNumberFormat="1" applyFont="1" applyBorder="1" applyAlignment="1">
      <alignment horizontal="right"/>
    </xf>
    <xf numFmtId="0" fontId="46" fillId="0" borderId="0" xfId="23" applyFont="1" applyAlignment="1">
      <alignment horizontal="right"/>
    </xf>
    <xf numFmtId="165" fontId="46" fillId="0" borderId="0" xfId="23" applyNumberFormat="1" applyFont="1" applyBorder="1" applyAlignment="1">
      <alignment horizontal="right"/>
    </xf>
    <xf numFmtId="0" fontId="47" fillId="0" borderId="4" xfId="23" applyFont="1" applyBorder="1" applyAlignment="1">
      <alignment horizontal="right"/>
    </xf>
    <xf numFmtId="171" fontId="26" fillId="0" borderId="0" xfId="23" applyNumberFormat="1" applyFont="1" applyAlignment="1">
      <alignment horizontal="right"/>
    </xf>
    <xf numFmtId="0" fontId="26" fillId="0" borderId="9" xfId="23" applyFont="1" applyBorder="1" applyAlignment="1">
      <alignment horizontal="left" wrapText="1"/>
    </xf>
    <xf numFmtId="0" fontId="37" fillId="0" borderId="0" xfId="23" applyFont="1" applyAlignment="1">
      <alignment horizontal="right"/>
    </xf>
    <xf numFmtId="0" fontId="27" fillId="0" borderId="0" xfId="23" applyFont="1" applyAlignment="1">
      <alignment horizontal="right"/>
    </xf>
    <xf numFmtId="0" fontId="8" fillId="0" borderId="0" xfId="23" applyFont="1" applyAlignment="1">
      <alignment horizontal="right"/>
    </xf>
    <xf numFmtId="0" fontId="18" fillId="0" borderId="0" xfId="23" applyFont="1" applyAlignment="1">
      <alignment horizontal="right"/>
    </xf>
    <xf numFmtId="0" fontId="8" fillId="0" borderId="0" xfId="23" applyFont="1" applyAlignment="1">
      <alignment horizontal="left" wrapText="1"/>
    </xf>
    <xf numFmtId="0" fontId="18" fillId="0" borderId="0" xfId="23" applyFont="1" applyAlignment="1">
      <alignment horizontal="left"/>
    </xf>
    <xf numFmtId="0" fontId="8" fillId="0" borderId="0" xfId="23" applyFont="1" applyBorder="1" applyAlignment="1">
      <alignment horizontal="left" wrapText="1"/>
    </xf>
    <xf numFmtId="1" fontId="26" fillId="0" borderId="0" xfId="23" applyNumberFormat="1" applyFont="1"/>
    <xf numFmtId="1" fontId="8" fillId="0" borderId="0" xfId="23" applyNumberFormat="1" applyFont="1" applyAlignment="1">
      <alignment horizontal="left" wrapText="1"/>
    </xf>
    <xf numFmtId="1" fontId="8" fillId="0" borderId="0" xfId="23" applyNumberFormat="1" applyFont="1" applyAlignment="1">
      <alignment horizontal="right"/>
    </xf>
    <xf numFmtId="1" fontId="18" fillId="0" borderId="0" xfId="23" applyNumberFormat="1" applyFont="1" applyAlignment="1">
      <alignment horizontal="right"/>
    </xf>
    <xf numFmtId="0" fontId="8" fillId="0" borderId="0" xfId="23" quotePrefix="1" applyFont="1" applyBorder="1" applyAlignment="1">
      <alignment horizontal="left"/>
    </xf>
    <xf numFmtId="1" fontId="27" fillId="0" borderId="0" xfId="23" applyNumberFormat="1" applyFont="1" applyAlignment="1">
      <alignment horizontal="right"/>
    </xf>
    <xf numFmtId="1" fontId="18" fillId="0" borderId="0" xfId="23" applyNumberFormat="1" applyFont="1" applyBorder="1" applyAlignment="1">
      <alignment horizontal="right"/>
    </xf>
    <xf numFmtId="0" fontId="26" fillId="0" borderId="1" xfId="23" applyFont="1" applyBorder="1"/>
    <xf numFmtId="0" fontId="8" fillId="0" borderId="1" xfId="23" applyFont="1" applyBorder="1" applyAlignment="1">
      <alignment horizontal="left" wrapText="1"/>
    </xf>
    <xf numFmtId="165" fontId="26" fillId="0" borderId="0" xfId="23" applyNumberFormat="1" applyFont="1"/>
    <xf numFmtId="165" fontId="44" fillId="0" borderId="0" xfId="23" applyNumberFormat="1" applyFont="1"/>
    <xf numFmtId="0" fontId="39" fillId="0" borderId="0" xfId="23" applyFont="1"/>
    <xf numFmtId="0" fontId="18" fillId="0" borderId="0" xfId="23" applyFont="1" applyBorder="1" applyAlignment="1">
      <alignment horizontal="right"/>
    </xf>
    <xf numFmtId="0" fontId="18" fillId="0" borderId="0" xfId="23" applyFont="1" applyBorder="1" applyAlignment="1">
      <alignment horizontal="left" wrapText="1"/>
    </xf>
    <xf numFmtId="0" fontId="48" fillId="0" borderId="0" xfId="23" applyFont="1"/>
    <xf numFmtId="0" fontId="44" fillId="0" borderId="0" xfId="23" applyFont="1"/>
    <xf numFmtId="0" fontId="10" fillId="0" borderId="0" xfId="23" applyFont="1" applyBorder="1" applyAlignment="1">
      <alignment horizontal="left" wrapText="1"/>
    </xf>
    <xf numFmtId="0" fontId="34" fillId="0" borderId="0" xfId="23" applyFont="1" applyBorder="1" applyAlignment="1">
      <alignment horizontal="left" vertical="justify" wrapText="1"/>
    </xf>
    <xf numFmtId="0" fontId="11" fillId="0" borderId="0" xfId="23" applyFont="1" applyBorder="1" applyAlignment="1">
      <alignment horizontal="left" wrapText="1"/>
    </xf>
    <xf numFmtId="0" fontId="11" fillId="0" borderId="0" xfId="23" applyFont="1" applyAlignment="1">
      <alignment wrapText="1"/>
    </xf>
    <xf numFmtId="1" fontId="49" fillId="0" borderId="1" xfId="23" applyNumberFormat="1" applyFont="1" applyBorder="1" applyAlignment="1">
      <alignment horizontal="right" vertical="center"/>
    </xf>
    <xf numFmtId="1" fontId="18" fillId="0" borderId="1" xfId="23" applyNumberFormat="1" applyFont="1" applyBorder="1" applyAlignment="1">
      <alignment horizontal="right"/>
    </xf>
    <xf numFmtId="0" fontId="10" fillId="0" borderId="1" xfId="23" applyFont="1" applyBorder="1" applyAlignment="1">
      <alignment horizontal="left" wrapText="1"/>
    </xf>
    <xf numFmtId="1" fontId="34" fillId="0" borderId="0" xfId="23" applyNumberFormat="1" applyFont="1" applyBorder="1" applyAlignment="1">
      <alignment horizontal="right"/>
    </xf>
    <xf numFmtId="1" fontId="32" fillId="0" borderId="0" xfId="23" applyNumberFormat="1" applyFont="1" applyBorder="1" applyAlignment="1">
      <alignment horizontal="right"/>
    </xf>
    <xf numFmtId="0" fontId="44" fillId="0" borderId="0" xfId="23" applyFont="1" applyAlignment="1">
      <alignment horizontal="center"/>
    </xf>
    <xf numFmtId="0" fontId="50" fillId="0" borderId="0" xfId="23" applyFont="1" applyAlignment="1">
      <alignment horizontal="right" vertical="center"/>
    </xf>
    <xf numFmtId="1" fontId="12" fillId="0" borderId="0" xfId="23" applyNumberFormat="1" applyFont="1" applyBorder="1" applyAlignment="1">
      <alignment horizontal="right" vertical="center"/>
    </xf>
    <xf numFmtId="1" fontId="51" fillId="0" borderId="0" xfId="23" applyNumberFormat="1" applyFont="1" applyBorder="1" applyAlignment="1">
      <alignment horizontal="right" vertical="center"/>
    </xf>
    <xf numFmtId="1" fontId="7" fillId="0" borderId="1" xfId="23" applyNumberFormat="1" applyFont="1" applyBorder="1" applyAlignment="1">
      <alignment horizontal="right"/>
    </xf>
    <xf numFmtId="1" fontId="49" fillId="0" borderId="1" xfId="23" applyNumberFormat="1" applyFont="1" applyBorder="1" applyAlignment="1">
      <alignment horizontal="right"/>
    </xf>
    <xf numFmtId="1" fontId="7" fillId="0" borderId="0" xfId="23" applyNumberFormat="1" applyFont="1" applyAlignment="1">
      <alignment horizontal="right"/>
    </xf>
    <xf numFmtId="1" fontId="49" fillId="0" borderId="0" xfId="23" applyNumberFormat="1" applyFont="1" applyAlignment="1">
      <alignment horizontal="right"/>
    </xf>
    <xf numFmtId="0" fontId="13" fillId="0" borderId="0" xfId="23" applyFont="1" applyAlignment="1">
      <alignment horizontal="left"/>
    </xf>
    <xf numFmtId="0" fontId="7" fillId="0" borderId="0" xfId="23" applyFont="1" applyAlignment="1">
      <alignment horizontal="left"/>
    </xf>
    <xf numFmtId="0" fontId="6" fillId="0" borderId="0" xfId="23" applyFont="1"/>
    <xf numFmtId="165" fontId="7" fillId="0" borderId="0" xfId="23" quotePrefix="1" applyNumberFormat="1" applyFont="1" applyBorder="1" applyAlignment="1">
      <alignment horizontal="right"/>
    </xf>
    <xf numFmtId="0" fontId="52" fillId="0" borderId="0" xfId="23" applyFont="1" applyBorder="1" applyAlignment="1">
      <alignment horizontal="right"/>
    </xf>
    <xf numFmtId="0" fontId="49" fillId="0" borderId="0" xfId="23" applyFont="1" applyBorder="1" applyAlignment="1">
      <alignment horizontal="right"/>
    </xf>
    <xf numFmtId="0" fontId="7" fillId="0" borderId="0" xfId="23" applyNumberFormat="1" applyFont="1" applyBorder="1" applyAlignment="1">
      <alignment horizontal="right"/>
    </xf>
    <xf numFmtId="0" fontId="15" fillId="0" borderId="0" xfId="23" applyFont="1" applyBorder="1" applyAlignment="1">
      <alignment horizontal="left"/>
    </xf>
    <xf numFmtId="0" fontId="13" fillId="0" borderId="0" xfId="23" applyFont="1" applyBorder="1" applyAlignment="1">
      <alignment horizontal="left" wrapText="1"/>
    </xf>
    <xf numFmtId="0" fontId="6" fillId="0" borderId="0" xfId="23" applyFont="1" applyBorder="1"/>
    <xf numFmtId="0" fontId="7" fillId="0" borderId="11" xfId="23" applyFont="1" applyBorder="1" applyAlignment="1">
      <alignment horizontal="right" vertical="center"/>
    </xf>
    <xf numFmtId="0" fontId="11" fillId="0" borderId="0" xfId="23" quotePrefix="1" applyFont="1" applyBorder="1" applyAlignment="1">
      <alignment horizontal="center" wrapText="1"/>
    </xf>
    <xf numFmtId="0" fontId="13" fillId="0" borderId="0" xfId="23" applyFont="1"/>
    <xf numFmtId="0" fontId="13" fillId="0" borderId="0" xfId="23" quotePrefix="1" applyFont="1" applyAlignment="1"/>
    <xf numFmtId="0" fontId="15" fillId="0" borderId="0" xfId="23" applyFont="1" applyBorder="1" applyAlignment="1" applyProtection="1">
      <alignment wrapText="1"/>
      <protection locked="0"/>
    </xf>
    <xf numFmtId="0" fontId="13" fillId="0" borderId="0" xfId="23" applyFont="1" applyBorder="1" applyAlignment="1" applyProtection="1">
      <alignment wrapText="1"/>
      <protection locked="0"/>
    </xf>
    <xf numFmtId="0" fontId="7" fillId="0" borderId="0" xfId="23" applyFont="1" applyBorder="1" applyAlignment="1">
      <alignment wrapText="1"/>
    </xf>
    <xf numFmtId="0" fontId="15" fillId="0" borderId="0" xfId="23" applyFont="1" applyBorder="1" applyAlignment="1">
      <alignment wrapText="1"/>
    </xf>
    <xf numFmtId="0" fontId="13" fillId="0" borderId="1" xfId="23" applyFont="1" applyBorder="1"/>
    <xf numFmtId="0" fontId="8" fillId="0" borderId="0" xfId="23" applyFont="1" applyAlignment="1">
      <alignment wrapText="1"/>
    </xf>
    <xf numFmtId="0" fontId="8" fillId="0" borderId="0" xfId="23" applyFont="1" applyAlignment="1">
      <alignment horizontal="left" vertical="center" wrapText="1"/>
    </xf>
    <xf numFmtId="0" fontId="9" fillId="0" borderId="0" xfId="23" applyFont="1" applyAlignment="1">
      <alignment horizontal="left"/>
    </xf>
    <xf numFmtId="0" fontId="13" fillId="0" borderId="0" xfId="23" applyFont="1" applyBorder="1" applyAlignment="1"/>
    <xf numFmtId="0" fontId="13" fillId="0" borderId="0" xfId="23" applyFont="1" applyBorder="1" applyAlignment="1">
      <alignment wrapText="1"/>
    </xf>
    <xf numFmtId="165" fontId="7" fillId="0" borderId="0" xfId="23" applyNumberFormat="1" applyFont="1" applyBorder="1"/>
    <xf numFmtId="0" fontId="7" fillId="0" borderId="0" xfId="23" applyFont="1" applyAlignment="1"/>
    <xf numFmtId="0" fontId="16" fillId="0" borderId="0" xfId="23" applyFont="1" applyAlignment="1"/>
    <xf numFmtId="0" fontId="13" fillId="0" borderId="0" xfId="23" applyFont="1" applyAlignment="1"/>
    <xf numFmtId="0" fontId="9" fillId="0" borderId="0" xfId="23" applyFont="1" applyAlignment="1">
      <alignment horizontal="right"/>
    </xf>
    <xf numFmtId="0" fontId="53" fillId="0" borderId="0" xfId="23" applyFont="1"/>
    <xf numFmtId="0" fontId="54" fillId="0" borderId="0" xfId="23" applyFont="1"/>
    <xf numFmtId="0" fontId="27" fillId="0" borderId="0" xfId="23" applyFont="1" applyBorder="1"/>
    <xf numFmtId="0" fontId="27" fillId="0" borderId="0" xfId="23" applyFont="1" applyBorder="1" applyAlignment="1">
      <alignment wrapText="1"/>
    </xf>
    <xf numFmtId="0" fontId="27" fillId="0" borderId="0" xfId="23" applyFont="1" applyBorder="1" applyAlignment="1"/>
    <xf numFmtId="0" fontId="27" fillId="0" borderId="0" xfId="23" applyFont="1" applyBorder="1" applyAlignment="1">
      <alignment horizontal="left"/>
    </xf>
    <xf numFmtId="0" fontId="27" fillId="0" borderId="0" xfId="23" quotePrefix="1" applyFont="1" applyBorder="1" applyAlignment="1">
      <alignment horizontal="left"/>
    </xf>
    <xf numFmtId="0" fontId="27" fillId="0" borderId="0" xfId="23" applyFont="1" applyBorder="1" applyAlignment="1">
      <alignment horizontal="right"/>
    </xf>
    <xf numFmtId="0" fontId="11" fillId="0" borderId="1" xfId="23" applyFont="1" applyBorder="1" applyAlignment="1">
      <alignment wrapText="1"/>
    </xf>
    <xf numFmtId="0" fontId="54" fillId="0" borderId="0" xfId="23" applyFont="1" applyBorder="1" applyAlignment="1">
      <alignment horizontal="right"/>
    </xf>
    <xf numFmtId="0" fontId="53" fillId="0" borderId="0" xfId="23" applyFont="1" applyBorder="1"/>
    <xf numFmtId="0" fontId="11" fillId="0" borderId="0" xfId="23" applyFont="1" applyBorder="1" applyAlignment="1"/>
    <xf numFmtId="0" fontId="8" fillId="0" borderId="11" xfId="23" applyFont="1" applyBorder="1" applyAlignment="1">
      <alignment horizontal="right" vertical="center"/>
    </xf>
    <xf numFmtId="0" fontId="13" fillId="0" borderId="0" xfId="23" applyFont="1" applyBorder="1" applyAlignment="1">
      <alignment horizontal="centerContinuous" wrapText="1"/>
    </xf>
    <xf numFmtId="0" fontId="13" fillId="0" borderId="0" xfId="23" applyFont="1" applyBorder="1" applyAlignment="1">
      <alignment horizontal="right"/>
    </xf>
    <xf numFmtId="0" fontId="21" fillId="0" borderId="0" xfId="23" applyFont="1" applyAlignment="1">
      <alignment horizontal="right"/>
    </xf>
    <xf numFmtId="0" fontId="21" fillId="0" borderId="0" xfId="23" applyFont="1" applyAlignment="1"/>
    <xf numFmtId="0" fontId="7" fillId="0" borderId="0" xfId="23" applyFont="1" applyAlignment="1">
      <alignment textRotation="180"/>
    </xf>
    <xf numFmtId="0" fontId="8" fillId="0" borderId="0" xfId="23" applyFont="1" applyBorder="1" applyAlignment="1"/>
    <xf numFmtId="0" fontId="7" fillId="0" borderId="0" xfId="23" applyFont="1" applyBorder="1" applyAlignment="1"/>
    <xf numFmtId="0" fontId="8" fillId="0" borderId="0" xfId="23" quotePrefix="1" applyFont="1" applyBorder="1" applyAlignment="1"/>
    <xf numFmtId="0" fontId="8" fillId="0" borderId="0" xfId="23" quotePrefix="1" applyFont="1" applyBorder="1" applyAlignment="1">
      <alignment wrapText="1"/>
    </xf>
    <xf numFmtId="171" fontId="7" fillId="0" borderId="1" xfId="23" applyNumberFormat="1" applyFont="1" applyBorder="1"/>
    <xf numFmtId="0" fontId="13" fillId="0" borderId="1" xfId="23" applyFont="1" applyBorder="1" applyAlignment="1">
      <alignment horizontal="right"/>
    </xf>
    <xf numFmtId="171" fontId="49" fillId="0" borderId="0" xfId="23" applyNumberFormat="1" applyFont="1" applyBorder="1" applyAlignment="1">
      <alignment horizontal="right"/>
    </xf>
    <xf numFmtId="0" fontId="49" fillId="0" borderId="0" xfId="23" applyFont="1" applyBorder="1"/>
    <xf numFmtId="2" fontId="6" fillId="0" borderId="0" xfId="23" applyNumberFormat="1"/>
    <xf numFmtId="2" fontId="49" fillId="0" borderId="0" xfId="23" applyNumberFormat="1" applyFont="1" applyBorder="1" applyAlignment="1">
      <alignment horizontal="right"/>
    </xf>
    <xf numFmtId="2" fontId="15" fillId="0" borderId="0" xfId="23" applyNumberFormat="1" applyFont="1" applyBorder="1" applyAlignment="1">
      <alignment wrapText="1"/>
    </xf>
    <xf numFmtId="2" fontId="6" fillId="0" borderId="0" xfId="23" applyNumberFormat="1" applyFont="1"/>
    <xf numFmtId="171" fontId="7" fillId="0" borderId="0" xfId="23" applyNumberFormat="1" applyFont="1" applyBorder="1" applyAlignment="1">
      <alignment horizontal="right"/>
    </xf>
    <xf numFmtId="0" fontId="6" fillId="0" borderId="0" xfId="23" applyFont="1" applyAlignment="1"/>
    <xf numFmtId="171" fontId="53" fillId="0" borderId="0" xfId="23" applyNumberFormat="1" applyFont="1"/>
    <xf numFmtId="0" fontId="8" fillId="0" borderId="0" xfId="23" applyFont="1" applyAlignment="1">
      <alignment horizontal="left" indent="1"/>
    </xf>
    <xf numFmtId="171" fontId="7" fillId="0" borderId="1" xfId="23" applyNumberFormat="1" applyFont="1" applyBorder="1" applyAlignment="1">
      <alignment horizontal="right"/>
    </xf>
    <xf numFmtId="0" fontId="7" fillId="0" borderId="0" xfId="23" applyFont="1" applyBorder="1" applyAlignment="1">
      <alignment horizontal="left" wrapText="1" indent="1"/>
    </xf>
    <xf numFmtId="0" fontId="6" fillId="0" borderId="11" xfId="23" applyFont="1" applyBorder="1" applyAlignment="1">
      <alignment horizontal="right" vertical="center"/>
    </xf>
    <xf numFmtId="0" fontId="13" fillId="0" borderId="1" xfId="23" applyFont="1" applyBorder="1" applyAlignment="1">
      <alignment horizontal="left"/>
    </xf>
    <xf numFmtId="0" fontId="16" fillId="0" borderId="0" xfId="23" applyFont="1" applyAlignment="1">
      <alignment horizontal="left"/>
    </xf>
    <xf numFmtId="171" fontId="55" fillId="0" borderId="0" xfId="23" applyNumberFormat="1" applyFont="1" applyBorder="1"/>
    <xf numFmtId="0" fontId="25" fillId="0" borderId="0" xfId="23" applyFont="1" applyBorder="1"/>
    <xf numFmtId="0" fontId="56" fillId="0" borderId="0" xfId="23" applyFont="1" applyBorder="1"/>
    <xf numFmtId="0" fontId="57" fillId="0" borderId="0" xfId="23" applyFont="1" applyBorder="1" applyAlignment="1">
      <alignment horizontal="left"/>
    </xf>
    <xf numFmtId="0" fontId="58" fillId="0" borderId="0" xfId="23" applyFont="1" applyBorder="1"/>
    <xf numFmtId="0" fontId="59" fillId="0" borderId="0" xfId="23" applyFont="1" applyBorder="1"/>
    <xf numFmtId="0" fontId="6" fillId="0" borderId="0" xfId="23" quotePrefix="1"/>
    <xf numFmtId="0" fontId="60" fillId="0" borderId="0" xfId="23" applyFont="1"/>
    <xf numFmtId="165" fontId="7" fillId="0" borderId="1" xfId="23" applyNumberFormat="1" applyFont="1" applyBorder="1"/>
    <xf numFmtId="0" fontId="7" fillId="0" borderId="0" xfId="23" applyFont="1" applyBorder="1" applyAlignment="1">
      <alignment horizontal="centerContinuous" wrapText="1"/>
    </xf>
    <xf numFmtId="0" fontId="55" fillId="0" borderId="0" xfId="23" applyFont="1"/>
    <xf numFmtId="0" fontId="25" fillId="0" borderId="0" xfId="23" applyFont="1"/>
    <xf numFmtId="0" fontId="7" fillId="0" borderId="1" xfId="23" applyFont="1" applyBorder="1" applyAlignment="1">
      <alignment wrapText="1"/>
    </xf>
    <xf numFmtId="171" fontId="49" fillId="0" borderId="0" xfId="23" applyNumberFormat="1" applyFont="1" applyBorder="1"/>
    <xf numFmtId="0" fontId="13" fillId="0" borderId="0" xfId="23" applyFont="1" applyAlignment="1">
      <alignment wrapText="1"/>
    </xf>
    <xf numFmtId="165" fontId="13" fillId="0" borderId="0" xfId="23" applyNumberFormat="1" applyFont="1" applyBorder="1" applyAlignment="1">
      <alignment wrapText="1"/>
    </xf>
    <xf numFmtId="165" fontId="13" fillId="0" borderId="0" xfId="23" applyNumberFormat="1" applyFont="1" applyAlignment="1">
      <alignment wrapText="1"/>
    </xf>
    <xf numFmtId="0" fontId="18" fillId="0" borderId="0" xfId="23" applyFont="1"/>
    <xf numFmtId="0" fontId="7" fillId="0" borderId="0" xfId="30"/>
    <xf numFmtId="171" fontId="61" fillId="0" borderId="0" xfId="30" applyNumberFormat="1" applyFont="1"/>
    <xf numFmtId="0" fontId="61" fillId="0" borderId="0" xfId="30" applyFont="1"/>
    <xf numFmtId="168" fontId="62" fillId="0" borderId="0" xfId="27" applyFont="1"/>
    <xf numFmtId="168" fontId="61" fillId="0" borderId="0" xfId="27" applyFont="1" applyProtection="1"/>
    <xf numFmtId="168" fontId="61" fillId="0" borderId="0" xfId="27" applyFont="1"/>
    <xf numFmtId="171" fontId="61" fillId="0" borderId="1" xfId="30" applyNumberFormat="1" applyFont="1" applyBorder="1"/>
    <xf numFmtId="0" fontId="61" fillId="0" borderId="1" xfId="30" applyFont="1" applyBorder="1"/>
    <xf numFmtId="168" fontId="61" fillId="0" borderId="1" xfId="27" applyFont="1" applyBorder="1"/>
    <xf numFmtId="171" fontId="61" fillId="0" borderId="0" xfId="30" applyNumberFormat="1" applyFont="1" applyBorder="1"/>
    <xf numFmtId="0" fontId="61" fillId="0" borderId="0" xfId="30" applyFont="1" applyBorder="1"/>
    <xf numFmtId="168" fontId="63" fillId="0" borderId="0" xfId="27" applyFont="1" applyAlignment="1" applyProtection="1">
      <alignment horizontal="right"/>
    </xf>
    <xf numFmtId="165" fontId="61" fillId="0" borderId="0" xfId="30" applyNumberFormat="1" applyFont="1"/>
    <xf numFmtId="0" fontId="61" fillId="0" borderId="0" xfId="30" applyFont="1" applyProtection="1">
      <protection locked="0"/>
    </xf>
    <xf numFmtId="168" fontId="63" fillId="0" borderId="0" xfId="27" applyFont="1" applyAlignment="1">
      <alignment horizontal="center"/>
    </xf>
    <xf numFmtId="2" fontId="63" fillId="0" borderId="0" xfId="27" applyNumberFormat="1" applyFont="1" applyAlignment="1">
      <alignment horizontal="center"/>
    </xf>
    <xf numFmtId="168" fontId="63" fillId="0" borderId="0" xfId="27" applyFont="1" applyAlignment="1" applyProtection="1">
      <alignment horizontal="center"/>
    </xf>
    <xf numFmtId="168" fontId="61" fillId="0" borderId="0" xfId="27" applyFont="1" applyAlignment="1" applyProtection="1">
      <alignment horizontal="left"/>
    </xf>
    <xf numFmtId="168" fontId="63" fillId="0" borderId="1" xfId="27" applyFont="1" applyBorder="1" applyAlignment="1">
      <alignment horizontal="right"/>
    </xf>
    <xf numFmtId="2" fontId="63" fillId="0" borderId="1" xfId="27" applyNumberFormat="1" applyFont="1" applyBorder="1" applyAlignment="1">
      <alignment horizontal="right"/>
    </xf>
    <xf numFmtId="168" fontId="63" fillId="0" borderId="1" xfId="27" applyFont="1" applyBorder="1" applyAlignment="1" applyProtection="1">
      <alignment horizontal="right"/>
    </xf>
    <xf numFmtId="168" fontId="61" fillId="0" borderId="1" xfId="27" applyFont="1" applyBorder="1" applyAlignment="1" applyProtection="1">
      <alignment horizontal="right"/>
    </xf>
    <xf numFmtId="0" fontId="63" fillId="0" borderId="0" xfId="30" applyFont="1" applyBorder="1" applyAlignment="1">
      <alignment horizontal="right"/>
    </xf>
    <xf numFmtId="171" fontId="63" fillId="0" borderId="0" xfId="30" applyNumberFormat="1" applyFont="1" applyBorder="1" applyAlignment="1">
      <alignment horizontal="right"/>
    </xf>
    <xf numFmtId="168" fontId="61" fillId="0" borderId="0" xfId="27" applyFont="1" applyAlignment="1" applyProtection="1">
      <alignment horizontal="right"/>
    </xf>
    <xf numFmtId="168" fontId="63" fillId="0" borderId="0" xfId="27" applyFont="1" applyAlignment="1" applyProtection="1">
      <alignment horizontal="left"/>
    </xf>
    <xf numFmtId="168" fontId="63" fillId="0" borderId="1" xfId="27" applyFont="1" applyBorder="1" applyAlignment="1">
      <alignment horizontal="center"/>
    </xf>
    <xf numFmtId="2" fontId="63" fillId="0" borderId="1" xfId="27" applyNumberFormat="1" applyFont="1" applyBorder="1" applyAlignment="1">
      <alignment horizontal="center"/>
    </xf>
    <xf numFmtId="168" fontId="63" fillId="0" borderId="1" xfId="27" applyFont="1" applyBorder="1" applyAlignment="1" applyProtection="1">
      <alignment horizontal="center"/>
    </xf>
    <xf numFmtId="168" fontId="63" fillId="0" borderId="1" xfId="27" applyFont="1" applyBorder="1" applyAlignment="1" applyProtection="1">
      <alignment horizontal="left"/>
    </xf>
    <xf numFmtId="0" fontId="7" fillId="0" borderId="0" xfId="30" applyFont="1" applyBorder="1"/>
    <xf numFmtId="0" fontId="7" fillId="0" borderId="0" xfId="30" applyFont="1"/>
    <xf numFmtId="0" fontId="63" fillId="0" borderId="0" xfId="31" applyFont="1" applyBorder="1"/>
    <xf numFmtId="2" fontId="61" fillId="0" borderId="0" xfId="27" applyNumberFormat="1" applyFont="1"/>
    <xf numFmtId="2" fontId="61" fillId="0" borderId="1" xfId="27" applyNumberFormat="1" applyFont="1" applyBorder="1"/>
    <xf numFmtId="0" fontId="63" fillId="0" borderId="1" xfId="31" applyFont="1" applyBorder="1"/>
    <xf numFmtId="168" fontId="61" fillId="0" borderId="0" xfId="27" applyFont="1" applyBorder="1"/>
    <xf numFmtId="2" fontId="61" fillId="0" borderId="0" xfId="27" applyNumberFormat="1" applyFont="1" applyBorder="1"/>
    <xf numFmtId="0" fontId="7" fillId="0" borderId="1" xfId="30" applyFont="1" applyBorder="1"/>
    <xf numFmtId="0" fontId="49" fillId="0" borderId="0" xfId="30" applyFont="1" applyAlignment="1" applyProtection="1">
      <alignment horizontal="center"/>
    </xf>
    <xf numFmtId="0" fontId="49" fillId="0" borderId="0" xfId="30" applyFont="1" applyAlignment="1" applyProtection="1">
      <alignment horizontal="centerContinuous"/>
    </xf>
    <xf numFmtId="172" fontId="49" fillId="0" borderId="0" xfId="30" applyNumberFormat="1" applyFont="1" applyProtection="1">
      <protection locked="0"/>
    </xf>
    <xf numFmtId="171" fontId="49" fillId="0" borderId="0" xfId="30" applyNumberFormat="1" applyFont="1"/>
    <xf numFmtId="0" fontId="49" fillId="0" borderId="0" xfId="30" applyFont="1"/>
    <xf numFmtId="172" fontId="64" fillId="0" borderId="1" xfId="30" applyNumberFormat="1" applyFont="1" applyBorder="1" applyAlignment="1" applyProtection="1">
      <alignment horizontal="right" vertical="center"/>
      <protection locked="0"/>
    </xf>
    <xf numFmtId="0" fontId="64" fillId="0" borderId="1" xfId="30" applyFont="1" applyBorder="1" applyAlignment="1">
      <alignment horizontal="right" vertical="center"/>
    </xf>
    <xf numFmtId="171" fontId="64" fillId="0" borderId="1" xfId="30" applyNumberFormat="1" applyFont="1" applyBorder="1" applyAlignment="1">
      <alignment horizontal="right" vertical="center"/>
    </xf>
    <xf numFmtId="0" fontId="49" fillId="0" borderId="1" xfId="30" quotePrefix="1" applyFont="1" applyBorder="1" applyAlignment="1">
      <alignment horizontal="center"/>
    </xf>
    <xf numFmtId="0" fontId="49" fillId="0" borderId="1" xfId="30" applyFont="1" applyBorder="1" applyAlignment="1">
      <alignment horizontal="centerContinuous"/>
    </xf>
    <xf numFmtId="0" fontId="49" fillId="0" borderId="1" xfId="30" applyFont="1" applyBorder="1"/>
    <xf numFmtId="0" fontId="49" fillId="0" borderId="0" xfId="30" applyFont="1" applyAlignment="1" applyProtection="1">
      <alignment horizontal="left"/>
    </xf>
    <xf numFmtId="0" fontId="49" fillId="0" borderId="0" xfId="30" applyFont="1" applyBorder="1"/>
    <xf numFmtId="0" fontId="49" fillId="0" borderId="1" xfId="30" applyFont="1" applyBorder="1" applyAlignment="1">
      <alignment horizontal="center" vertical="center"/>
    </xf>
    <xf numFmtId="0" fontId="65" fillId="0" borderId="0" xfId="30" applyFont="1" applyBorder="1"/>
    <xf numFmtId="0" fontId="65" fillId="0" borderId="0" xfId="30" applyFont="1"/>
    <xf numFmtId="2" fontId="12" fillId="0" borderId="0" xfId="23" applyNumberFormat="1" applyFont="1"/>
    <xf numFmtId="0" fontId="12" fillId="0" borderId="0" xfId="23" applyFont="1" applyAlignment="1">
      <alignment horizontal="right"/>
    </xf>
    <xf numFmtId="0" fontId="29" fillId="0" borderId="0" xfId="23" applyFont="1"/>
    <xf numFmtId="1" fontId="12" fillId="0" borderId="0" xfId="23" applyNumberFormat="1" applyFont="1"/>
    <xf numFmtId="0" fontId="16" fillId="0" borderId="0" xfId="23" applyFont="1"/>
    <xf numFmtId="0" fontId="12" fillId="0" borderId="0" xfId="23" applyFont="1"/>
    <xf numFmtId="165" fontId="11" fillId="0" borderId="1" xfId="32" applyNumberFormat="1" applyFont="1" applyFill="1" applyBorder="1" applyAlignment="1">
      <alignment horizontal="center"/>
    </xf>
    <xf numFmtId="165" fontId="13" fillId="0" borderId="0" xfId="32" applyNumberFormat="1" applyFont="1" applyFill="1" applyBorder="1" applyAlignment="1">
      <alignment horizontal="left"/>
    </xf>
    <xf numFmtId="0" fontId="12" fillId="0" borderId="0" xfId="23" quotePrefix="1" applyFont="1"/>
    <xf numFmtId="0" fontId="11" fillId="0" borderId="0" xfId="23" applyFont="1" applyBorder="1" applyAlignment="1">
      <alignment horizontal="center"/>
    </xf>
    <xf numFmtId="0" fontId="13" fillId="0" borderId="11" xfId="23" applyFont="1" applyBorder="1" applyAlignment="1">
      <alignment horizontal="right" vertical="center"/>
    </xf>
    <xf numFmtId="0" fontId="13" fillId="0" borderId="0" xfId="23" applyNumberFormat="1" applyFont="1" applyBorder="1" applyAlignment="1">
      <alignment horizontal="right"/>
    </xf>
    <xf numFmtId="0" fontId="65" fillId="0" borderId="0" xfId="23" applyFont="1" applyBorder="1" applyAlignment="1">
      <alignment horizontal="right"/>
    </xf>
    <xf numFmtId="0" fontId="66" fillId="0" borderId="0" xfId="23" applyFont="1" applyBorder="1" applyAlignment="1">
      <alignment horizontal="right"/>
    </xf>
    <xf numFmtId="0" fontId="67" fillId="0" borderId="0" xfId="23" applyFont="1" applyBorder="1" applyAlignment="1">
      <alignment horizontal="right"/>
    </xf>
    <xf numFmtId="165" fontId="13" fillId="0" borderId="0" xfId="23" quotePrefix="1" applyNumberFormat="1" applyFont="1" applyBorder="1" applyAlignment="1">
      <alignment horizontal="right"/>
    </xf>
    <xf numFmtId="0" fontId="49" fillId="0" borderId="0" xfId="30" applyFont="1" applyBorder="1" applyAlignment="1">
      <alignment horizontal="left" wrapText="1"/>
    </xf>
    <xf numFmtId="0" fontId="64" fillId="0" borderId="0" xfId="30" applyFont="1" applyAlignment="1" applyProtection="1">
      <alignment horizontal="left" wrapText="1"/>
    </xf>
    <xf numFmtId="0" fontId="64" fillId="0" borderId="0" xfId="30" applyFont="1" applyAlignment="1">
      <alignment horizontal="left" wrapText="1"/>
    </xf>
    <xf numFmtId="0" fontId="7" fillId="0" borderId="0" xfId="30" applyAlignment="1">
      <alignment wrapText="1"/>
    </xf>
    <xf numFmtId="171" fontId="8" fillId="0" borderId="0" xfId="23" applyNumberFormat="1" applyFont="1" applyBorder="1" applyAlignment="1"/>
    <xf numFmtId="165" fontId="8" fillId="0" borderId="0" xfId="23" applyNumberFormat="1" applyFont="1" applyFill="1" applyBorder="1" applyAlignment="1">
      <alignment horizontal="right" vertical="center" wrapText="1"/>
    </xf>
    <xf numFmtId="165" fontId="8" fillId="0" borderId="0" xfId="23" quotePrefix="1" applyNumberFormat="1" applyFont="1" applyFill="1" applyBorder="1" applyAlignment="1">
      <alignment horizontal="right" vertical="center" wrapText="1"/>
    </xf>
    <xf numFmtId="0" fontId="7" fillId="0" borderId="0" xfId="23" applyFont="1" applyBorder="1" applyAlignment="1">
      <alignment horizontal="right"/>
    </xf>
    <xf numFmtId="0" fontId="13" fillId="0" borderId="0" xfId="23" applyFont="1" applyBorder="1" applyAlignment="1">
      <alignment horizontal="left" wrapText="1"/>
    </xf>
    <xf numFmtId="0" fontId="7" fillId="0" borderId="0" xfId="23" applyFont="1" applyBorder="1" applyAlignment="1">
      <alignment horizontal="left" wrapText="1"/>
    </xf>
    <xf numFmtId="174" fontId="8" fillId="0" borderId="0" xfId="121" quotePrefix="1" applyNumberFormat="1" applyFont="1"/>
  </cellXfs>
  <cellStyles count="122">
    <cellStyle name="Dezimal [0]_KASSEnew" xfId="25"/>
    <cellStyle name="Dezimal_KASSEnew" xfId="26"/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Milliers 2" xfId="24"/>
    <cellStyle name="Milliers 3" xfId="32"/>
    <cellStyle name="Normal" xfId="0" builtinId="0"/>
    <cellStyle name="Normal 2" xfId="23"/>
    <cellStyle name="Normal 3" xfId="30"/>
    <cellStyle name="Pourcentage" xfId="121" builtinId="5"/>
    <cellStyle name="Standard_anhangtab_fertig" xfId="31"/>
    <cellStyle name="Standard_KASSEnew" xfId="27"/>
    <cellStyle name="Währung [0]_KASSEnew" xfId="28"/>
    <cellStyle name="Währung_KASSEnew" xfId="29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theme" Target="theme/theme1.xml"/><Relationship Id="rId30" Type="http://schemas.openxmlformats.org/officeDocument/2006/relationships/styles" Target="styles.xml"/><Relationship Id="rId31" Type="http://schemas.openxmlformats.org/officeDocument/2006/relationships/sharedStrings" Target="sharedStrings.xml"/><Relationship Id="rId3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7" sqref="A17"/>
    </sheetView>
  </sheetViews>
  <sheetFormatPr baseColWidth="10" defaultRowHeight="15" x14ac:dyDescent="0"/>
  <sheetData>
    <row r="1" spans="1:1">
      <c r="A1" s="1" t="s">
        <v>0</v>
      </c>
    </row>
    <row r="2" spans="1:1">
      <c r="A2" t="s">
        <v>3</v>
      </c>
    </row>
    <row r="5" spans="1:1">
      <c r="A5" t="s">
        <v>4</v>
      </c>
    </row>
    <row r="8" spans="1:1">
      <c r="A8" t="s">
        <v>1</v>
      </c>
    </row>
    <row r="9" spans="1:1">
      <c r="A9" t="s">
        <v>2</v>
      </c>
    </row>
    <row r="10" spans="1:1">
      <c r="A10" t="s">
        <v>5</v>
      </c>
    </row>
    <row r="11" spans="1:1">
      <c r="A11" t="s">
        <v>6</v>
      </c>
    </row>
    <row r="12" spans="1:1">
      <c r="A12" t="s">
        <v>7</v>
      </c>
    </row>
    <row r="14" spans="1:1">
      <c r="A14" t="s">
        <v>8</v>
      </c>
    </row>
    <row r="15" spans="1:1">
      <c r="A15" t="s">
        <v>957</v>
      </c>
    </row>
    <row r="16" spans="1:1">
      <c r="A16" t="s">
        <v>958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zoomScale="125" zoomScaleNormal="125" zoomScalePageLayoutView="125" workbookViewId="0">
      <selection activeCell="E10" sqref="E10"/>
    </sheetView>
  </sheetViews>
  <sheetFormatPr baseColWidth="10" defaultRowHeight="12" x14ac:dyDescent="0"/>
  <cols>
    <col min="1" max="1" width="5.1640625" style="2" customWidth="1"/>
    <col min="2" max="2" width="6" style="2" customWidth="1"/>
    <col min="3" max="3" width="2.5" style="2" customWidth="1"/>
    <col min="4" max="4" width="2.33203125" style="2" customWidth="1"/>
    <col min="5" max="5" width="27" style="2" bestFit="1" customWidth="1"/>
    <col min="6" max="6" width="6.6640625" style="2" customWidth="1"/>
    <col min="7" max="7" width="7.5" style="42" customWidth="1"/>
    <col min="8" max="15" width="5.5" style="42" customWidth="1"/>
    <col min="16" max="16" width="5.83203125" style="42" customWidth="1"/>
    <col min="17" max="17" width="6.5" style="42" bestFit="1" customWidth="1"/>
    <col min="18" max="21" width="6.33203125" style="42" customWidth="1"/>
    <col min="22" max="16384" width="10.83203125" style="2"/>
  </cols>
  <sheetData>
    <row r="2" spans="2:21">
      <c r="B2" s="48"/>
    </row>
    <row r="4" spans="2:21">
      <c r="D4" s="102" t="s">
        <v>389</v>
      </c>
      <c r="F4" s="5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2:21" ht="43.5" customHeight="1">
      <c r="D5" s="102"/>
      <c r="F5" s="5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2:21">
      <c r="D6" s="101" t="s">
        <v>388</v>
      </c>
      <c r="F6" s="48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2"/>
    </row>
    <row r="7" spans="2:21" ht="13" thickBot="1">
      <c r="D7" s="100"/>
      <c r="E7" s="100"/>
      <c r="F7" s="100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2:21" s="115" customFormat="1" ht="18.75" customHeight="1" thickTop="1" thickBot="1">
      <c r="D8" s="108"/>
      <c r="E8" s="108"/>
      <c r="F8" s="108"/>
      <c r="G8" s="108">
        <v>1924</v>
      </c>
      <c r="H8" s="108">
        <v>1925</v>
      </c>
      <c r="I8" s="108">
        <v>1926</v>
      </c>
      <c r="J8" s="108">
        <v>1927</v>
      </c>
      <c r="K8" s="108">
        <v>1928</v>
      </c>
      <c r="L8" s="108">
        <v>1929</v>
      </c>
      <c r="M8" s="108">
        <v>1930</v>
      </c>
      <c r="N8" s="108">
        <v>1931</v>
      </c>
      <c r="O8" s="108">
        <v>1932</v>
      </c>
      <c r="P8" s="108">
        <v>1933</v>
      </c>
      <c r="Q8" s="108">
        <v>1934</v>
      </c>
      <c r="R8" s="108">
        <v>1935</v>
      </c>
      <c r="S8" s="108">
        <v>1936</v>
      </c>
      <c r="T8" s="108">
        <v>1937</v>
      </c>
      <c r="U8" s="108">
        <v>1938</v>
      </c>
    </row>
    <row r="9" spans="2:21" ht="12.75" customHeight="1" thickTop="1">
      <c r="D9" s="90" t="s">
        <v>38</v>
      </c>
      <c r="E9" s="90" t="s">
        <v>387</v>
      </c>
      <c r="F9" s="93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2:21" ht="22.5" customHeight="1">
      <c r="D10" s="93"/>
      <c r="E10" s="86" t="s">
        <v>386</v>
      </c>
      <c r="F10" s="85" t="s">
        <v>261</v>
      </c>
      <c r="G10" s="88">
        <f>'a-6'!AE19</f>
        <v>4444.7500000000009</v>
      </c>
      <c r="H10" s="88">
        <f>'a-6'!AE23</f>
        <v>4981.7249999999995</v>
      </c>
      <c r="I10" s="88">
        <f>'a-6'!AE27</f>
        <v>4936.0249999999996</v>
      </c>
      <c r="J10" s="88">
        <f>'a-6'!AE31</f>
        <v>6220.95</v>
      </c>
      <c r="K10" s="88">
        <f>'a-6'!AE35</f>
        <v>6500.7000000000007</v>
      </c>
      <c r="L10" s="88">
        <f>'a-6'!AE39</f>
        <v>6329.1500000000005</v>
      </c>
      <c r="M10" s="88">
        <f>'a-6'!AE43</f>
        <v>7043.9999999999991</v>
      </c>
      <c r="N10" s="88">
        <f>'a-6'!AE47</f>
        <v>5965.2250000000004</v>
      </c>
      <c r="O10" s="88">
        <f>'a-6'!AE51</f>
        <v>5267.6999999999989</v>
      </c>
      <c r="P10" s="88">
        <f>'a-6'!AE55</f>
        <v>5023.7749999999996</v>
      </c>
      <c r="Q10" s="88">
        <f>'a-6'!AE59</f>
        <v>5269.1749999999993</v>
      </c>
      <c r="R10" s="88">
        <f>'a-6'!AE63</f>
        <v>6474.1000366210901</v>
      </c>
      <c r="S10" s="88">
        <f>'a-6'!AE67</f>
        <v>8298.9314633789108</v>
      </c>
      <c r="T10" s="88">
        <f>'a-6'!AE71</f>
        <v>10692.055512207033</v>
      </c>
      <c r="U10" s="88">
        <f>'a-6'!AE75</f>
        <v>14142.103925947187</v>
      </c>
    </row>
    <row r="11" spans="2:21">
      <c r="D11" s="93"/>
      <c r="E11" s="93" t="s">
        <v>385</v>
      </c>
      <c r="F11" s="85" t="s">
        <v>254</v>
      </c>
      <c r="G11" s="88">
        <f>'a-6'!AL19</f>
        <v>325.39999999999998</v>
      </c>
      <c r="H11" s="88">
        <f>'a-6'!AL23</f>
        <v>105.27500000000003</v>
      </c>
      <c r="I11" s="88">
        <f>'a-6'!AL27</f>
        <v>398.9</v>
      </c>
      <c r="J11" s="88">
        <f>'a-6'!AL31</f>
        <v>344.75</v>
      </c>
      <c r="K11" s="88">
        <f>'a-6'!AL35</f>
        <v>515.77499999999998</v>
      </c>
      <c r="L11" s="88">
        <f>'a-6'!AL39</f>
        <v>651.07500000000005</v>
      </c>
      <c r="M11" s="88">
        <f>'a-6'!AL43</f>
        <v>725.72500000000014</v>
      </c>
      <c r="N11" s="88">
        <f>'a-6'!AL47</f>
        <v>912.17500000000007</v>
      </c>
      <c r="O11" s="88">
        <f>'a-6'!AL51</f>
        <v>615.44999999999993</v>
      </c>
      <c r="P11" s="88">
        <f>'a-6'!AL55</f>
        <v>673.07499999999993</v>
      </c>
      <c r="Q11" s="88">
        <f>'a-6'!AL59</f>
        <v>931.4</v>
      </c>
      <c r="R11" s="88">
        <f>'a-6'!AL63</f>
        <v>1006.85</v>
      </c>
      <c r="S11" s="88">
        <f>'a-6'!AL67</f>
        <v>1428.9</v>
      </c>
      <c r="T11" s="88">
        <f>'a-6'!AL71</f>
        <v>1887.2750000000001</v>
      </c>
      <c r="U11" s="88">
        <f>'a-6'!AL75</f>
        <v>2453.3250000000003</v>
      </c>
    </row>
    <row r="12" spans="2:21" ht="22.5" customHeight="1">
      <c r="D12" s="93"/>
      <c r="E12" s="86" t="s">
        <v>384</v>
      </c>
      <c r="F12" s="85" t="s">
        <v>383</v>
      </c>
      <c r="G12" s="88">
        <f t="shared" ref="G12:U12" si="0">G10+G11</f>
        <v>4770.1500000000005</v>
      </c>
      <c r="H12" s="88">
        <f t="shared" si="0"/>
        <v>5086.9999999999991</v>
      </c>
      <c r="I12" s="88">
        <f t="shared" si="0"/>
        <v>5334.9249999999993</v>
      </c>
      <c r="J12" s="88">
        <f t="shared" si="0"/>
        <v>6565.7</v>
      </c>
      <c r="K12" s="88">
        <f t="shared" si="0"/>
        <v>7016.4750000000004</v>
      </c>
      <c r="L12" s="88">
        <f t="shared" si="0"/>
        <v>6980.2250000000004</v>
      </c>
      <c r="M12" s="88">
        <f t="shared" si="0"/>
        <v>7769.7249999999995</v>
      </c>
      <c r="N12" s="88">
        <f t="shared" si="0"/>
        <v>6877.4000000000005</v>
      </c>
      <c r="O12" s="88">
        <f t="shared" si="0"/>
        <v>5883.1499999999987</v>
      </c>
      <c r="P12" s="88">
        <f t="shared" si="0"/>
        <v>5696.8499999999995</v>
      </c>
      <c r="Q12" s="88">
        <f t="shared" si="0"/>
        <v>6200.5749999999989</v>
      </c>
      <c r="R12" s="88">
        <f t="shared" si="0"/>
        <v>7480.9500366210905</v>
      </c>
      <c r="S12" s="88">
        <f t="shared" si="0"/>
        <v>9727.8314633789105</v>
      </c>
      <c r="T12" s="88">
        <f t="shared" si="0"/>
        <v>12579.330512207032</v>
      </c>
      <c r="U12" s="88">
        <f t="shared" si="0"/>
        <v>16595.428925947188</v>
      </c>
    </row>
    <row r="13" spans="2:21" ht="16.5" customHeight="1">
      <c r="D13" s="90" t="s">
        <v>140</v>
      </c>
      <c r="E13" s="90" t="s">
        <v>382</v>
      </c>
      <c r="F13" s="85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spans="2:21" ht="22.5" customHeight="1">
      <c r="D14" s="93"/>
      <c r="E14" s="86" t="s">
        <v>381</v>
      </c>
      <c r="F14" s="85" t="s">
        <v>245</v>
      </c>
      <c r="G14" s="88">
        <f>'a-6'!AZ19</f>
        <v>4573.0749999999989</v>
      </c>
      <c r="H14" s="88">
        <f>'a-6'!AZ23</f>
        <v>5466.5749999999989</v>
      </c>
      <c r="I14" s="88">
        <f>'a-6'!AZ27</f>
        <v>6400.0499999999984</v>
      </c>
      <c r="J14" s="88">
        <f>'a-6'!AZ31</f>
        <v>7044.7000000000007</v>
      </c>
      <c r="K14" s="88">
        <f>'a-6'!AZ35</f>
        <v>7416.4250000000002</v>
      </c>
      <c r="L14" s="88">
        <f>'a-6'!AZ39</f>
        <v>8233.35</v>
      </c>
      <c r="M14" s="88">
        <f>'a-6'!AZ43</f>
        <v>8883.7749999999978</v>
      </c>
      <c r="N14" s="88">
        <f>'a-6'!AZ47</f>
        <v>7268.8</v>
      </c>
      <c r="O14" s="88">
        <f>'a-6'!AZ51</f>
        <v>6463.6750000000002</v>
      </c>
      <c r="P14" s="88">
        <f>'a-6'!AZ55</f>
        <v>5925.0749999999998</v>
      </c>
      <c r="Q14" s="88">
        <f>'a-6'!AZ59</f>
        <v>7217.5749999999989</v>
      </c>
      <c r="R14" s="88">
        <f>'a-6'!AZ63</f>
        <v>10174.37503662109</v>
      </c>
      <c r="S14" s="88">
        <f>'a-6'!AZ67</f>
        <v>11912.706465095524</v>
      </c>
      <c r="T14" s="88">
        <f>'a-6'!AZ71</f>
        <v>15639.805510871887</v>
      </c>
      <c r="U14" s="88">
        <f>'a-6'!AZ75</f>
        <v>25625.778925565715</v>
      </c>
    </row>
    <row r="15" spans="2:21" ht="20">
      <c r="D15" s="93"/>
      <c r="E15" s="86" t="s">
        <v>380</v>
      </c>
      <c r="F15" s="85" t="s">
        <v>318</v>
      </c>
      <c r="G15" s="88"/>
      <c r="H15" s="88"/>
      <c r="I15" s="88"/>
      <c r="J15" s="88"/>
      <c r="K15" s="88"/>
      <c r="L15" s="88"/>
      <c r="M15" s="88"/>
      <c r="N15" s="201"/>
      <c r="O15" s="88">
        <f>'a-7'!R16</f>
        <v>57</v>
      </c>
      <c r="P15" s="88">
        <f>'a-7'!R20</f>
        <v>1021</v>
      </c>
      <c r="Q15" s="88">
        <f>'a-7'!R24</f>
        <v>2770</v>
      </c>
      <c r="R15" s="88">
        <f>'a-7'!R28</f>
        <v>2006</v>
      </c>
      <c r="S15" s="84">
        <f>'a-7'!R32</f>
        <v>1927</v>
      </c>
      <c r="T15" s="88">
        <f>'a-7'!R36</f>
        <v>3619</v>
      </c>
      <c r="U15" s="88">
        <f>'a-7'!R40</f>
        <v>1279</v>
      </c>
    </row>
    <row r="16" spans="2:21" ht="33" customHeight="1">
      <c r="D16" s="93"/>
      <c r="E16" s="86" t="s">
        <v>379</v>
      </c>
      <c r="F16" s="85" t="s">
        <v>378</v>
      </c>
      <c r="G16" s="88">
        <f t="shared" ref="G16:U16" si="1">G14+G15</f>
        <v>4573.0749999999989</v>
      </c>
      <c r="H16" s="88">
        <f t="shared" si="1"/>
        <v>5466.5749999999989</v>
      </c>
      <c r="I16" s="88">
        <f t="shared" si="1"/>
        <v>6400.0499999999984</v>
      </c>
      <c r="J16" s="88">
        <f t="shared" si="1"/>
        <v>7044.7000000000007</v>
      </c>
      <c r="K16" s="88">
        <f t="shared" si="1"/>
        <v>7416.4250000000002</v>
      </c>
      <c r="L16" s="88">
        <f t="shared" si="1"/>
        <v>8233.35</v>
      </c>
      <c r="M16" s="88">
        <f t="shared" si="1"/>
        <v>8883.7749999999978</v>
      </c>
      <c r="N16" s="88">
        <f t="shared" si="1"/>
        <v>7268.8</v>
      </c>
      <c r="O16" s="88">
        <f t="shared" si="1"/>
        <v>6520.6750000000002</v>
      </c>
      <c r="P16" s="88">
        <f t="shared" si="1"/>
        <v>6946.0749999999998</v>
      </c>
      <c r="Q16" s="88">
        <f t="shared" si="1"/>
        <v>9987.5749999999989</v>
      </c>
      <c r="R16" s="88">
        <f t="shared" si="1"/>
        <v>12180.37503662109</v>
      </c>
      <c r="S16" s="88">
        <f t="shared" si="1"/>
        <v>13839.706465095524</v>
      </c>
      <c r="T16" s="88">
        <f t="shared" si="1"/>
        <v>19258.805510871887</v>
      </c>
      <c r="U16" s="88">
        <f t="shared" si="1"/>
        <v>26904.778925565715</v>
      </c>
    </row>
    <row r="17" spans="4:21" ht="20">
      <c r="D17" s="93"/>
      <c r="E17" s="86" t="s">
        <v>377</v>
      </c>
      <c r="F17" s="85" t="s">
        <v>349</v>
      </c>
      <c r="G17" s="88">
        <f>'a-8'!N17</f>
        <v>570.40000000000009</v>
      </c>
      <c r="H17" s="88">
        <f>'a-8'!N21</f>
        <v>85</v>
      </c>
      <c r="I17" s="88">
        <f>'a-8'!N25</f>
        <v>280.5</v>
      </c>
      <c r="J17" s="88">
        <f>'a-8'!N29</f>
        <v>490.1</v>
      </c>
      <c r="K17" s="87">
        <f>'a-8'!N33</f>
        <v>549.9</v>
      </c>
      <c r="L17" s="88">
        <f>'a-8'!N37</f>
        <v>484.9</v>
      </c>
      <c r="M17" s="88">
        <f>'a-8'!N41</f>
        <v>953.09999999999991</v>
      </c>
      <c r="N17" s="88">
        <f>'a-8'!N45</f>
        <v>747.1</v>
      </c>
      <c r="O17" s="88">
        <f>'a-8'!N73</f>
        <v>771.72500000000002</v>
      </c>
      <c r="P17" s="88">
        <f>'a-8'!N77</f>
        <v>453.57499999999999</v>
      </c>
      <c r="Q17" s="88">
        <f>'a-8'!N81</f>
        <v>372.5</v>
      </c>
      <c r="R17" s="88">
        <f>'a-8'!N85</f>
        <v>331.9</v>
      </c>
      <c r="S17" s="87">
        <f>'a-8'!N89</f>
        <v>593</v>
      </c>
      <c r="T17" s="88">
        <f>'a-8'!N93</f>
        <v>636.9</v>
      </c>
      <c r="U17" s="88">
        <f>'a-8'!N97</f>
        <v>852.1</v>
      </c>
    </row>
    <row r="18" spans="4:21" ht="20">
      <c r="D18" s="93"/>
      <c r="E18" s="86" t="s">
        <v>376</v>
      </c>
      <c r="F18" s="85" t="s">
        <v>375</v>
      </c>
      <c r="G18" s="88">
        <f t="shared" ref="G18:U18" si="2">G14+G15-G17</f>
        <v>4002.6749999999988</v>
      </c>
      <c r="H18" s="88">
        <f t="shared" si="2"/>
        <v>5381.5749999999989</v>
      </c>
      <c r="I18" s="88">
        <f t="shared" si="2"/>
        <v>6119.5499999999984</v>
      </c>
      <c r="J18" s="88">
        <f t="shared" si="2"/>
        <v>6554.6</v>
      </c>
      <c r="K18" s="87">
        <f t="shared" si="2"/>
        <v>6866.5250000000005</v>
      </c>
      <c r="L18" s="88">
        <f t="shared" si="2"/>
        <v>7748.4500000000007</v>
      </c>
      <c r="M18" s="88">
        <f t="shared" si="2"/>
        <v>7930.6749999999975</v>
      </c>
      <c r="N18" s="87">
        <f t="shared" si="2"/>
        <v>6521.7</v>
      </c>
      <c r="O18" s="87">
        <f t="shared" si="2"/>
        <v>5748.95</v>
      </c>
      <c r="P18" s="87">
        <f t="shared" si="2"/>
        <v>6492.5</v>
      </c>
      <c r="Q18" s="87">
        <f t="shared" si="2"/>
        <v>9615.0749999999989</v>
      </c>
      <c r="R18" s="87">
        <f t="shared" si="2"/>
        <v>11848.47503662109</v>
      </c>
      <c r="S18" s="87">
        <f t="shared" si="2"/>
        <v>13246.706465095524</v>
      </c>
      <c r="T18" s="87">
        <f t="shared" si="2"/>
        <v>18621.905510871886</v>
      </c>
      <c r="U18" s="87">
        <f t="shared" si="2"/>
        <v>26052.678925565717</v>
      </c>
    </row>
    <row r="19" spans="4:21" ht="16.5" customHeight="1">
      <c r="D19" s="90" t="s">
        <v>23</v>
      </c>
      <c r="E19" s="90" t="s">
        <v>374</v>
      </c>
      <c r="F19" s="85"/>
      <c r="G19" s="88"/>
      <c r="H19" s="88"/>
      <c r="I19" s="88"/>
      <c r="J19" s="88"/>
      <c r="K19" s="231"/>
      <c r="L19" s="88"/>
      <c r="M19" s="88"/>
      <c r="N19" s="231"/>
      <c r="O19" s="231"/>
      <c r="P19" s="231"/>
      <c r="Q19" s="231"/>
      <c r="R19" s="231"/>
      <c r="S19" s="231"/>
      <c r="T19" s="231"/>
      <c r="U19" s="231"/>
    </row>
    <row r="20" spans="4:21" ht="16.5" customHeight="1">
      <c r="E20" s="93" t="s">
        <v>373</v>
      </c>
      <c r="F20" s="85" t="s">
        <v>372</v>
      </c>
      <c r="G20" s="88">
        <f t="shared" ref="G20:U20" si="3">G12-G18</f>
        <v>767.47500000000173</v>
      </c>
      <c r="H20" s="88">
        <f t="shared" si="3"/>
        <v>-294.57499999999982</v>
      </c>
      <c r="I20" s="88">
        <f t="shared" si="3"/>
        <v>-784.62499999999909</v>
      </c>
      <c r="J20" s="88">
        <f t="shared" si="3"/>
        <v>11.099999999999454</v>
      </c>
      <c r="K20" s="87">
        <f t="shared" si="3"/>
        <v>149.94999999999982</v>
      </c>
      <c r="L20" s="88">
        <f t="shared" si="3"/>
        <v>-768.22500000000036</v>
      </c>
      <c r="M20" s="88">
        <f t="shared" si="3"/>
        <v>-160.949999999998</v>
      </c>
      <c r="N20" s="87">
        <f t="shared" si="3"/>
        <v>355.70000000000073</v>
      </c>
      <c r="O20" s="87">
        <f t="shared" si="3"/>
        <v>134.19999999999891</v>
      </c>
      <c r="P20" s="87">
        <f t="shared" si="3"/>
        <v>-795.65000000000055</v>
      </c>
      <c r="Q20" s="87">
        <f t="shared" si="3"/>
        <v>-3414.5</v>
      </c>
      <c r="R20" s="87">
        <f t="shared" si="3"/>
        <v>-4367.5249999999996</v>
      </c>
      <c r="S20" s="87">
        <f t="shared" si="3"/>
        <v>-3518.875001716613</v>
      </c>
      <c r="T20" s="87">
        <f t="shared" si="3"/>
        <v>-6042.5749986648534</v>
      </c>
      <c r="U20" s="87">
        <f t="shared" si="3"/>
        <v>-9457.2499996185288</v>
      </c>
    </row>
    <row r="21" spans="4:21" ht="6.75" customHeight="1" thickBot="1">
      <c r="D21" s="100"/>
      <c r="E21" s="100"/>
      <c r="F21" s="100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4:21" ht="6.75" customHeight="1" thickTop="1">
      <c r="E22" s="52"/>
      <c r="F22" s="5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</row>
    <row r="23" spans="4:21">
      <c r="E23" s="47"/>
      <c r="F23" s="47"/>
      <c r="G23" s="45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4:21">
      <c r="E24" s="47"/>
      <c r="F24" s="47"/>
      <c r="G24" s="45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4:21">
      <c r="E25" s="47"/>
      <c r="F25" s="46"/>
      <c r="G25" s="45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4:21">
      <c r="E26" s="47"/>
      <c r="F26" s="46"/>
      <c r="G26" s="45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4:21">
      <c r="E27" s="47"/>
      <c r="F27" s="46"/>
      <c r="G27" s="45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4:21">
      <c r="E28" s="47"/>
      <c r="F28" s="46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</sheetData>
  <sheetProtection sheet="1" objects="1" scenarios="1"/>
  <pageMargins left="0" right="0" top="0" bottom="0.9842519685039370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70"/>
  <sheetViews>
    <sheetView workbookViewId="0">
      <selection activeCell="L46" sqref="L46"/>
    </sheetView>
  </sheetViews>
  <sheetFormatPr baseColWidth="10" defaultRowHeight="12" x14ac:dyDescent="0"/>
  <cols>
    <col min="1" max="1" width="3.83203125" style="48" customWidth="1"/>
    <col min="2" max="2" width="28.6640625" style="2" customWidth="1"/>
    <col min="3" max="3" width="7.5" style="2" customWidth="1"/>
    <col min="4" max="4" width="7.6640625" style="2" customWidth="1"/>
    <col min="5" max="10" width="6.5" style="2" customWidth="1"/>
    <col min="11" max="15" width="5.6640625" style="2" customWidth="1"/>
    <col min="16" max="16" width="6.83203125" style="2" customWidth="1"/>
    <col min="17" max="17" width="6.5" style="2" customWidth="1"/>
    <col min="18" max="18" width="3.83203125" style="2" customWidth="1"/>
    <col min="19" max="19" width="5.33203125" style="2" customWidth="1"/>
    <col min="20" max="16384" width="10.83203125" style="2"/>
  </cols>
  <sheetData>
    <row r="4" spans="1:17">
      <c r="A4" s="102" t="s">
        <v>436</v>
      </c>
      <c r="B4" s="48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>
      <c r="A5" s="102"/>
      <c r="B5" s="48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7">
      <c r="A6" s="101" t="s">
        <v>435</v>
      </c>
      <c r="B6" s="48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13" thickBo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17" s="259" customFormat="1" ht="18.75" customHeight="1" thickTop="1" thickBot="1">
      <c r="A8" s="108"/>
      <c r="B8" s="108"/>
      <c r="C8" s="108"/>
      <c r="D8" s="108">
        <v>1925</v>
      </c>
      <c r="E8" s="108">
        <v>1926</v>
      </c>
      <c r="F8" s="108">
        <v>1927</v>
      </c>
      <c r="G8" s="108">
        <v>1929</v>
      </c>
      <c r="H8" s="108">
        <v>1929</v>
      </c>
      <c r="I8" s="108">
        <v>1930</v>
      </c>
      <c r="J8" s="108">
        <v>1931</v>
      </c>
      <c r="K8" s="108">
        <v>1932</v>
      </c>
      <c r="L8" s="108">
        <v>1933</v>
      </c>
      <c r="M8" s="108">
        <v>1934</v>
      </c>
      <c r="N8" s="108">
        <v>1935</v>
      </c>
      <c r="O8" s="108">
        <v>1936</v>
      </c>
      <c r="P8" s="108">
        <v>1937</v>
      </c>
      <c r="Q8" s="108">
        <v>1938</v>
      </c>
    </row>
    <row r="9" spans="1:17" ht="16.5" customHeight="1" thickTop="1">
      <c r="A9" s="258" t="s">
        <v>38</v>
      </c>
      <c r="B9" s="90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7" ht="12.75" customHeight="1">
      <c r="A10" s="258"/>
      <c r="B10" s="95" t="s">
        <v>412</v>
      </c>
      <c r="C10" s="85" t="s">
        <v>434</v>
      </c>
      <c r="D10" s="88">
        <v>3364.6</v>
      </c>
      <c r="E10" s="88">
        <v>3696.8</v>
      </c>
      <c r="F10" s="88">
        <v>3967.1</v>
      </c>
      <c r="G10" s="88">
        <v>4184.3</v>
      </c>
      <c r="H10" s="88">
        <v>4142.6000000000004</v>
      </c>
      <c r="I10" s="88">
        <v>4032.1</v>
      </c>
      <c r="J10" s="88">
        <v>3494.8</v>
      </c>
      <c r="K10" s="88">
        <v>2960.9</v>
      </c>
      <c r="L10" s="88">
        <v>3004.3</v>
      </c>
      <c r="M10" s="88">
        <v>3073.1</v>
      </c>
      <c r="N10" s="88">
        <v>2559.6999999999998</v>
      </c>
      <c r="O10" s="88">
        <v>2602</v>
      </c>
      <c r="P10" s="88">
        <v>2468</v>
      </c>
      <c r="Q10" s="88">
        <v>2496</v>
      </c>
    </row>
    <row r="11" spans="1:17" ht="12.75" customHeight="1">
      <c r="A11" s="258"/>
      <c r="B11" s="93" t="s">
        <v>402</v>
      </c>
      <c r="C11" s="85" t="s">
        <v>433</v>
      </c>
      <c r="D11" s="88">
        <v>5324.8</v>
      </c>
      <c r="E11" s="88">
        <v>6437.4</v>
      </c>
      <c r="F11" s="88">
        <v>7106.1</v>
      </c>
      <c r="G11" s="88">
        <v>7620</v>
      </c>
      <c r="H11" s="88">
        <v>8030.4</v>
      </c>
      <c r="I11" s="88">
        <v>7583.9</v>
      </c>
      <c r="J11" s="88">
        <v>6360.6</v>
      </c>
      <c r="K11" s="88">
        <v>5408</v>
      </c>
      <c r="L11" s="88">
        <v>5614.1</v>
      </c>
      <c r="M11" s="88">
        <v>5693.4</v>
      </c>
      <c r="N11" s="88">
        <v>5787.4</v>
      </c>
      <c r="O11" s="88">
        <v>5949</v>
      </c>
      <c r="P11" s="88">
        <v>6289</v>
      </c>
      <c r="Q11" s="88">
        <v>7244</v>
      </c>
    </row>
    <row r="12" spans="1:17" ht="12.75" customHeight="1">
      <c r="A12" s="258"/>
      <c r="B12" s="93" t="s">
        <v>400</v>
      </c>
      <c r="C12" s="85" t="s">
        <v>432</v>
      </c>
      <c r="D12" s="88">
        <v>455.1</v>
      </c>
      <c r="E12" s="88">
        <v>505.2</v>
      </c>
      <c r="F12" s="88">
        <v>573.79999999999995</v>
      </c>
      <c r="G12" s="88">
        <v>621.9</v>
      </c>
      <c r="H12" s="88">
        <v>656.7</v>
      </c>
      <c r="I12" s="88">
        <v>628.4</v>
      </c>
      <c r="J12" s="88">
        <v>499.1</v>
      </c>
      <c r="K12" s="88">
        <v>434.2</v>
      </c>
      <c r="L12" s="88">
        <v>444.1</v>
      </c>
      <c r="M12" s="88">
        <v>426.3</v>
      </c>
      <c r="N12" s="88">
        <v>386</v>
      </c>
      <c r="O12" s="88">
        <v>393.6</v>
      </c>
      <c r="P12" s="88">
        <v>447.6</v>
      </c>
      <c r="Q12" s="88">
        <v>450</v>
      </c>
    </row>
    <row r="13" spans="1:17" ht="22.5" customHeight="1">
      <c r="A13" s="258"/>
      <c r="B13" s="86" t="s">
        <v>431</v>
      </c>
      <c r="C13" s="85" t="s">
        <v>430</v>
      </c>
      <c r="D13" s="88">
        <f t="shared" ref="D13:Q13" si="0">D10+D11+D12</f>
        <v>9144.5</v>
      </c>
      <c r="E13" s="88">
        <f t="shared" si="0"/>
        <v>10639.400000000001</v>
      </c>
      <c r="F13" s="88">
        <f t="shared" si="0"/>
        <v>11647</v>
      </c>
      <c r="G13" s="88">
        <f t="shared" si="0"/>
        <v>12426.199999999999</v>
      </c>
      <c r="H13" s="88">
        <f t="shared" si="0"/>
        <v>12829.7</v>
      </c>
      <c r="I13" s="88">
        <f t="shared" si="0"/>
        <v>12244.4</v>
      </c>
      <c r="J13" s="88">
        <f t="shared" si="0"/>
        <v>10354.500000000002</v>
      </c>
      <c r="K13" s="88">
        <f t="shared" si="0"/>
        <v>8803.1</v>
      </c>
      <c r="L13" s="88">
        <f t="shared" si="0"/>
        <v>9062.5000000000018</v>
      </c>
      <c r="M13" s="88">
        <f t="shared" si="0"/>
        <v>9192.7999999999993</v>
      </c>
      <c r="N13" s="88">
        <f t="shared" si="0"/>
        <v>8733.0999999999985</v>
      </c>
      <c r="O13" s="88">
        <f t="shared" si="0"/>
        <v>8944.6</v>
      </c>
      <c r="P13" s="88">
        <f t="shared" si="0"/>
        <v>9204.6</v>
      </c>
      <c r="Q13" s="88">
        <f t="shared" si="0"/>
        <v>10190</v>
      </c>
    </row>
    <row r="14" spans="1:17">
      <c r="A14" s="258" t="s">
        <v>140</v>
      </c>
      <c r="B14" s="112" t="s">
        <v>429</v>
      </c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ht="12.75" customHeight="1">
      <c r="A15" s="258"/>
      <c r="B15" s="95" t="s">
        <v>412</v>
      </c>
      <c r="C15" s="85" t="s">
        <v>428</v>
      </c>
      <c r="D15" s="88"/>
      <c r="E15" s="88"/>
      <c r="F15" s="88"/>
      <c r="G15" s="88"/>
      <c r="H15" s="88"/>
      <c r="I15" s="88"/>
      <c r="J15" s="88">
        <v>47.7</v>
      </c>
      <c r="K15" s="88">
        <v>33.5</v>
      </c>
      <c r="L15" s="88">
        <v>90.4</v>
      </c>
      <c r="M15" s="88">
        <v>68.099999999999994</v>
      </c>
      <c r="N15" s="88">
        <v>85.8</v>
      </c>
      <c r="O15" s="88">
        <v>137.19999999999999</v>
      </c>
      <c r="P15" s="88">
        <v>155.9</v>
      </c>
      <c r="Q15" s="88">
        <v>155</v>
      </c>
    </row>
    <row r="16" spans="1:17">
      <c r="A16" s="258"/>
      <c r="B16" s="93" t="s">
        <v>402</v>
      </c>
      <c r="C16" s="85" t="s">
        <v>427</v>
      </c>
      <c r="D16" s="88"/>
      <c r="E16" s="88"/>
      <c r="F16" s="88"/>
      <c r="G16" s="88"/>
      <c r="H16" s="88"/>
      <c r="I16" s="88"/>
      <c r="J16" s="87">
        <v>173.9</v>
      </c>
      <c r="K16" s="88">
        <v>129.69999999999999</v>
      </c>
      <c r="L16" s="88">
        <v>150.6</v>
      </c>
      <c r="M16" s="88">
        <v>233.1</v>
      </c>
      <c r="N16" s="88">
        <v>267.39999999999998</v>
      </c>
      <c r="O16" s="88">
        <v>331.5</v>
      </c>
      <c r="P16" s="88">
        <v>399.5</v>
      </c>
      <c r="Q16" s="88">
        <v>431</v>
      </c>
    </row>
    <row r="17" spans="1:17">
      <c r="A17" s="258"/>
      <c r="B17" s="93" t="s">
        <v>400</v>
      </c>
      <c r="C17" s="85" t="s">
        <v>426</v>
      </c>
      <c r="D17" s="88"/>
      <c r="E17" s="88"/>
      <c r="F17" s="88"/>
      <c r="G17" s="88"/>
      <c r="H17" s="88"/>
      <c r="I17" s="88"/>
      <c r="J17" s="88">
        <v>7.9</v>
      </c>
      <c r="K17" s="88">
        <v>10</v>
      </c>
      <c r="L17" s="88">
        <v>8.3000000000000007</v>
      </c>
      <c r="M17" s="88">
        <v>9.8000000000000007</v>
      </c>
      <c r="N17" s="88">
        <v>12.6</v>
      </c>
      <c r="O17" s="88">
        <v>28.2</v>
      </c>
      <c r="P17" s="88">
        <v>50.3</v>
      </c>
      <c r="Q17" s="88"/>
    </row>
    <row r="18" spans="1:17" s="51" customFormat="1">
      <c r="A18" s="90"/>
      <c r="B18" s="95" t="s">
        <v>425</v>
      </c>
      <c r="C18" s="85" t="s">
        <v>424</v>
      </c>
      <c r="D18" s="88">
        <v>53.7</v>
      </c>
      <c r="E18" s="88">
        <v>100.4</v>
      </c>
      <c r="F18" s="88">
        <v>124.5</v>
      </c>
      <c r="G18" s="88">
        <v>203</v>
      </c>
      <c r="H18" s="88">
        <v>195</v>
      </c>
      <c r="I18" s="88">
        <v>235.9</v>
      </c>
      <c r="J18" s="87">
        <f t="shared" ref="J18:Q18" si="1">J17+J16+J15</f>
        <v>229.5</v>
      </c>
      <c r="K18" s="88">
        <f t="shared" si="1"/>
        <v>173.2</v>
      </c>
      <c r="L18" s="88">
        <f t="shared" si="1"/>
        <v>249.3</v>
      </c>
      <c r="M18" s="88">
        <f t="shared" si="1"/>
        <v>311</v>
      </c>
      <c r="N18" s="88">
        <f t="shared" si="1"/>
        <v>365.8</v>
      </c>
      <c r="O18" s="88">
        <f t="shared" si="1"/>
        <v>496.9</v>
      </c>
      <c r="P18" s="88">
        <f t="shared" si="1"/>
        <v>605.70000000000005</v>
      </c>
      <c r="Q18" s="88">
        <f t="shared" si="1"/>
        <v>586</v>
      </c>
    </row>
    <row r="19" spans="1:17">
      <c r="A19" s="112" t="s">
        <v>23</v>
      </c>
      <c r="B19" s="112" t="s">
        <v>423</v>
      </c>
      <c r="C19" s="85" t="s">
        <v>422</v>
      </c>
      <c r="D19" s="88">
        <f t="shared" ref="D19:Q19" si="2">D13-D18</f>
        <v>9090.7999999999993</v>
      </c>
      <c r="E19" s="88">
        <f t="shared" si="2"/>
        <v>10539.000000000002</v>
      </c>
      <c r="F19" s="88">
        <f t="shared" si="2"/>
        <v>11522.5</v>
      </c>
      <c r="G19" s="88">
        <f t="shared" si="2"/>
        <v>12223.199999999999</v>
      </c>
      <c r="H19" s="88">
        <f t="shared" si="2"/>
        <v>12634.7</v>
      </c>
      <c r="I19" s="88">
        <f t="shared" si="2"/>
        <v>12008.5</v>
      </c>
      <c r="J19" s="88">
        <f t="shared" si="2"/>
        <v>10125.000000000002</v>
      </c>
      <c r="K19" s="88">
        <f t="shared" si="2"/>
        <v>8629.9</v>
      </c>
      <c r="L19" s="88">
        <f t="shared" si="2"/>
        <v>8813.2000000000025</v>
      </c>
      <c r="M19" s="88">
        <f t="shared" si="2"/>
        <v>8881.7999999999993</v>
      </c>
      <c r="N19" s="88">
        <f t="shared" si="2"/>
        <v>8367.2999999999993</v>
      </c>
      <c r="O19" s="88">
        <f t="shared" si="2"/>
        <v>8447.7000000000007</v>
      </c>
      <c r="P19" s="88">
        <f t="shared" si="2"/>
        <v>8598.9</v>
      </c>
      <c r="Q19" s="88">
        <f t="shared" si="2"/>
        <v>9604</v>
      </c>
    </row>
    <row r="20" spans="1:17" ht="22.5" customHeight="1">
      <c r="A20" s="258"/>
      <c r="B20" s="86" t="s">
        <v>421</v>
      </c>
      <c r="C20" s="88" t="s">
        <v>420</v>
      </c>
      <c r="D20" s="88">
        <v>96</v>
      </c>
      <c r="E20" s="88">
        <v>174.5</v>
      </c>
      <c r="F20" s="88">
        <v>204.2</v>
      </c>
      <c r="G20" s="88">
        <v>382.9</v>
      </c>
      <c r="H20" s="88">
        <v>515.20000000000005</v>
      </c>
      <c r="I20" s="88">
        <v>563.9</v>
      </c>
      <c r="J20" s="88">
        <v>608.1</v>
      </c>
      <c r="K20" s="88">
        <v>489.2</v>
      </c>
      <c r="L20" s="88">
        <v>489.8</v>
      </c>
      <c r="M20" s="88">
        <v>481.4</v>
      </c>
      <c r="N20" s="88">
        <v>493.7</v>
      </c>
      <c r="O20" s="88">
        <v>419.9</v>
      </c>
      <c r="P20" s="88">
        <v>404</v>
      </c>
      <c r="Q20" s="88">
        <v>358</v>
      </c>
    </row>
    <row r="21" spans="1:17">
      <c r="A21" s="112" t="s">
        <v>20</v>
      </c>
      <c r="B21" s="112" t="s">
        <v>419</v>
      </c>
      <c r="C21" s="200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</row>
    <row r="22" spans="1:17" ht="12.75" customHeight="1">
      <c r="A22" s="258"/>
      <c r="B22" s="95" t="s">
        <v>412</v>
      </c>
      <c r="C22" s="85" t="s">
        <v>418</v>
      </c>
      <c r="D22" s="88">
        <v>93.5</v>
      </c>
      <c r="E22" s="88">
        <v>257.2</v>
      </c>
      <c r="F22" s="88">
        <v>301.8</v>
      </c>
      <c r="G22" s="88">
        <v>238.3</v>
      </c>
      <c r="H22" s="88">
        <v>174.9</v>
      </c>
      <c r="I22" s="88">
        <v>186</v>
      </c>
      <c r="J22" s="88">
        <v>125</v>
      </c>
      <c r="K22" s="88">
        <v>82.8</v>
      </c>
      <c r="L22" s="88">
        <v>121.7</v>
      </c>
      <c r="M22" s="88">
        <v>104.2</v>
      </c>
      <c r="N22" s="88">
        <v>62.6</v>
      </c>
      <c r="O22" s="88">
        <v>30.1</v>
      </c>
      <c r="P22" s="88">
        <v>27.4</v>
      </c>
      <c r="Q22" s="88">
        <v>39</v>
      </c>
    </row>
    <row r="23" spans="1:17">
      <c r="A23" s="258"/>
      <c r="B23" s="93" t="s">
        <v>402</v>
      </c>
      <c r="C23" s="85" t="s">
        <v>417</v>
      </c>
      <c r="D23" s="88">
        <v>438.6</v>
      </c>
      <c r="E23" s="88">
        <v>941</v>
      </c>
      <c r="F23" s="88">
        <v>1173.7</v>
      </c>
      <c r="G23" s="88">
        <v>1069.3</v>
      </c>
      <c r="H23" s="88">
        <v>1092.5</v>
      </c>
      <c r="I23" s="88">
        <v>591.6</v>
      </c>
      <c r="J23" s="88">
        <v>258.3</v>
      </c>
      <c r="K23" s="88">
        <v>122.3</v>
      </c>
      <c r="L23" s="88">
        <v>323.10000000000002</v>
      </c>
      <c r="M23" s="88">
        <v>291.7</v>
      </c>
      <c r="N23" s="88">
        <v>150.9</v>
      </c>
      <c r="O23" s="88">
        <v>92.1</v>
      </c>
      <c r="P23" s="88">
        <v>84.9</v>
      </c>
      <c r="Q23" s="88">
        <v>119</v>
      </c>
    </row>
    <row r="24" spans="1:17">
      <c r="A24" s="258"/>
      <c r="B24" s="93" t="s">
        <v>400</v>
      </c>
      <c r="C24" s="85" t="s">
        <v>416</v>
      </c>
      <c r="D24" s="88">
        <v>38.299999999999997</v>
      </c>
      <c r="E24" s="88">
        <v>48.4</v>
      </c>
      <c r="F24" s="88">
        <v>71.900000000000006</v>
      </c>
      <c r="G24" s="88">
        <v>64.099999999999994</v>
      </c>
      <c r="H24" s="88">
        <v>68.3</v>
      </c>
      <c r="I24" s="88">
        <v>35.6</v>
      </c>
      <c r="J24" s="88">
        <v>4.8</v>
      </c>
      <c r="K24" s="88">
        <v>8.1999999999999993</v>
      </c>
      <c r="L24" s="88">
        <v>34.6</v>
      </c>
      <c r="M24" s="88">
        <v>26.4</v>
      </c>
      <c r="N24" s="88">
        <v>6.9</v>
      </c>
      <c r="O24" s="88">
        <v>7.3</v>
      </c>
      <c r="P24" s="88">
        <v>11.4</v>
      </c>
      <c r="Q24" s="88"/>
    </row>
    <row r="25" spans="1:17">
      <c r="A25" s="258"/>
      <c r="B25" s="95" t="s">
        <v>415</v>
      </c>
      <c r="C25" s="85" t="s">
        <v>414</v>
      </c>
      <c r="D25" s="88">
        <f t="shared" ref="D25:Q25" si="3">D22+D23+D24</f>
        <v>570.4</v>
      </c>
      <c r="E25" s="88">
        <f t="shared" si="3"/>
        <v>1246.6000000000001</v>
      </c>
      <c r="F25" s="88">
        <f t="shared" si="3"/>
        <v>1547.4</v>
      </c>
      <c r="G25" s="88">
        <f t="shared" si="3"/>
        <v>1371.6999999999998</v>
      </c>
      <c r="H25" s="88">
        <f t="shared" si="3"/>
        <v>1335.7</v>
      </c>
      <c r="I25" s="88">
        <f t="shared" si="3"/>
        <v>813.2</v>
      </c>
      <c r="J25" s="88">
        <f t="shared" si="3"/>
        <v>388.1</v>
      </c>
      <c r="K25" s="88">
        <f t="shared" si="3"/>
        <v>213.29999999999998</v>
      </c>
      <c r="L25" s="88">
        <f t="shared" si="3"/>
        <v>479.40000000000003</v>
      </c>
      <c r="M25" s="88">
        <f t="shared" si="3"/>
        <v>422.29999999999995</v>
      </c>
      <c r="N25" s="88">
        <f t="shared" si="3"/>
        <v>220.4</v>
      </c>
      <c r="O25" s="88">
        <f t="shared" si="3"/>
        <v>129.5</v>
      </c>
      <c r="P25" s="88">
        <f t="shared" si="3"/>
        <v>123.70000000000002</v>
      </c>
      <c r="Q25" s="88">
        <f t="shared" si="3"/>
        <v>158</v>
      </c>
    </row>
    <row r="26" spans="1:17">
      <c r="A26" s="112" t="s">
        <v>78</v>
      </c>
      <c r="B26" s="112" t="s">
        <v>413</v>
      </c>
      <c r="C26" s="85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</row>
    <row r="27" spans="1:17" ht="12.75" customHeight="1">
      <c r="A27" s="258"/>
      <c r="B27" s="95" t="s">
        <v>412</v>
      </c>
      <c r="C27" s="85" t="s">
        <v>411</v>
      </c>
      <c r="D27" s="88">
        <v>-166.7</v>
      </c>
      <c r="E27" s="88">
        <v>-175.9</v>
      </c>
      <c r="F27" s="88">
        <v>-25.3</v>
      </c>
      <c r="G27" s="88">
        <v>-39.9</v>
      </c>
      <c r="H27" s="88">
        <v>-151.5</v>
      </c>
      <c r="I27" s="88">
        <v>-188.4</v>
      </c>
      <c r="J27" s="88">
        <v>-112.8</v>
      </c>
      <c r="K27" s="88">
        <v>-134</v>
      </c>
      <c r="L27" s="88">
        <v>-0.8</v>
      </c>
      <c r="M27" s="88">
        <v>-156.30000000000001</v>
      </c>
      <c r="N27" s="88">
        <v>119.2</v>
      </c>
      <c r="O27" s="88">
        <v>52.9</v>
      </c>
      <c r="P27" s="88">
        <v>119.7</v>
      </c>
      <c r="Q27" s="88">
        <v>139</v>
      </c>
    </row>
    <row r="28" spans="1:17">
      <c r="A28" s="258"/>
      <c r="B28" s="93" t="s">
        <v>402</v>
      </c>
      <c r="C28" s="85" t="s">
        <v>410</v>
      </c>
      <c r="D28" s="88">
        <v>-259.39999999999998</v>
      </c>
      <c r="E28" s="88">
        <v>-118.4</v>
      </c>
      <c r="F28" s="88">
        <v>-7.6</v>
      </c>
      <c r="G28" s="88">
        <v>-101.7</v>
      </c>
      <c r="H28" s="88">
        <v>-341.4</v>
      </c>
      <c r="I28" s="88">
        <v>-297.8</v>
      </c>
      <c r="J28" s="88">
        <v>-307.39999999999998</v>
      </c>
      <c r="K28" s="88">
        <v>-567</v>
      </c>
      <c r="L28" s="88">
        <v>-136.80000000000001</v>
      </c>
      <c r="M28" s="88">
        <v>222.5</v>
      </c>
      <c r="N28" s="88">
        <v>139.19999999999999</v>
      </c>
      <c r="O28" s="88">
        <v>210.9</v>
      </c>
      <c r="P28" s="88">
        <v>248.5</v>
      </c>
      <c r="Q28" s="88">
        <v>313</v>
      </c>
    </row>
    <row r="29" spans="1:17">
      <c r="A29" s="258"/>
      <c r="B29" s="93" t="s">
        <v>400</v>
      </c>
      <c r="C29" s="85" t="s">
        <v>409</v>
      </c>
      <c r="D29" s="88">
        <v>-45.9</v>
      </c>
      <c r="E29" s="88">
        <v>-15.9</v>
      </c>
      <c r="F29" s="88">
        <v>5</v>
      </c>
      <c r="G29" s="88">
        <v>6.9</v>
      </c>
      <c r="H29" s="88">
        <v>-11</v>
      </c>
      <c r="I29" s="88">
        <v>-32.799999999999997</v>
      </c>
      <c r="J29" s="88">
        <v>-8.4</v>
      </c>
      <c r="K29" s="88">
        <v>-39.200000000000003</v>
      </c>
      <c r="L29" s="88">
        <v>-42.6</v>
      </c>
      <c r="M29" s="88">
        <v>-6</v>
      </c>
      <c r="N29" s="88">
        <v>2.8</v>
      </c>
      <c r="O29" s="88">
        <v>22.7</v>
      </c>
      <c r="P29" s="88">
        <v>27.2</v>
      </c>
      <c r="Q29" s="88"/>
    </row>
    <row r="30" spans="1:17">
      <c r="A30" s="258"/>
      <c r="B30" s="95" t="s">
        <v>408</v>
      </c>
      <c r="C30" s="85" t="s">
        <v>407</v>
      </c>
      <c r="D30" s="88">
        <f t="shared" ref="D30:Q30" si="4">D27+D28+D29</f>
        <v>-471.99999999999994</v>
      </c>
      <c r="E30" s="88">
        <f t="shared" si="4"/>
        <v>-310.2</v>
      </c>
      <c r="F30" s="88">
        <f t="shared" si="4"/>
        <v>-27.9</v>
      </c>
      <c r="G30" s="88">
        <f t="shared" si="4"/>
        <v>-134.69999999999999</v>
      </c>
      <c r="H30" s="88">
        <f t="shared" si="4"/>
        <v>-503.9</v>
      </c>
      <c r="I30" s="88">
        <f t="shared" si="4"/>
        <v>-519</v>
      </c>
      <c r="J30" s="88">
        <f t="shared" si="4"/>
        <v>-428.59999999999997</v>
      </c>
      <c r="K30" s="88">
        <f t="shared" si="4"/>
        <v>-740.2</v>
      </c>
      <c r="L30" s="88">
        <f t="shared" si="4"/>
        <v>-180.20000000000002</v>
      </c>
      <c r="M30" s="88">
        <f t="shared" si="4"/>
        <v>60.199999999999989</v>
      </c>
      <c r="N30" s="88">
        <f t="shared" si="4"/>
        <v>261.2</v>
      </c>
      <c r="O30" s="88">
        <f t="shared" si="4"/>
        <v>286.5</v>
      </c>
      <c r="P30" s="88">
        <f t="shared" si="4"/>
        <v>395.4</v>
      </c>
      <c r="Q30" s="88">
        <f t="shared" si="4"/>
        <v>452</v>
      </c>
    </row>
    <row r="31" spans="1:17">
      <c r="A31" s="257" t="s">
        <v>406</v>
      </c>
      <c r="B31" s="257" t="s">
        <v>405</v>
      </c>
    </row>
    <row r="32" spans="1:17" ht="20">
      <c r="B32" s="256" t="s">
        <v>404</v>
      </c>
      <c r="C32" s="85" t="s">
        <v>403</v>
      </c>
      <c r="D32" s="254">
        <v>2396</v>
      </c>
      <c r="E32" s="254">
        <v>2497.3000000000002</v>
      </c>
      <c r="F32" s="254">
        <v>2754</v>
      </c>
      <c r="G32" s="254">
        <v>2937.1</v>
      </c>
      <c r="H32" s="254">
        <v>2860.7</v>
      </c>
      <c r="I32" s="254">
        <v>2809</v>
      </c>
      <c r="J32" s="254">
        <v>2427.5</v>
      </c>
      <c r="K32" s="254">
        <v>2046.9</v>
      </c>
      <c r="L32" s="254">
        <v>2090.3000000000002</v>
      </c>
      <c r="M32" s="254">
        <v>2265.1999999999998</v>
      </c>
      <c r="N32" s="254">
        <v>1987.1</v>
      </c>
      <c r="O32" s="254">
        <v>2008.6</v>
      </c>
      <c r="P32" s="254">
        <v>1901</v>
      </c>
      <c r="Q32" s="254">
        <v>1851</v>
      </c>
    </row>
    <row r="33" spans="1:18">
      <c r="B33" s="255" t="s">
        <v>402</v>
      </c>
      <c r="C33" s="85" t="s">
        <v>401</v>
      </c>
      <c r="D33" s="254">
        <v>3204.2</v>
      </c>
      <c r="E33" s="254">
        <v>3594.3</v>
      </c>
      <c r="F33" s="254">
        <v>4090.6</v>
      </c>
      <c r="G33" s="88">
        <v>4398</v>
      </c>
      <c r="H33" s="88">
        <v>4390</v>
      </c>
      <c r="I33" s="88">
        <v>4333.1000000000004</v>
      </c>
      <c r="J33" s="88">
        <v>3676.5</v>
      </c>
      <c r="K33" s="88">
        <v>2957.5</v>
      </c>
      <c r="L33" s="88">
        <v>3229.4</v>
      </c>
      <c r="M33" s="88">
        <v>3483.5</v>
      </c>
      <c r="N33" s="88">
        <v>3747.4</v>
      </c>
      <c r="O33" s="88">
        <v>4104</v>
      </c>
      <c r="P33" s="88">
        <v>4589.6000000000004</v>
      </c>
      <c r="Q33" s="88">
        <v>5058</v>
      </c>
    </row>
    <row r="34" spans="1:18">
      <c r="B34" s="255" t="s">
        <v>400</v>
      </c>
      <c r="C34" s="85" t="s">
        <v>399</v>
      </c>
      <c r="D34" s="254">
        <v>246.6</v>
      </c>
      <c r="E34" s="254">
        <v>291.39999999999998</v>
      </c>
      <c r="F34" s="254">
        <v>344.1</v>
      </c>
      <c r="G34" s="254">
        <v>394.5</v>
      </c>
      <c r="H34" s="254">
        <v>387.6</v>
      </c>
      <c r="I34" s="254">
        <v>365.8</v>
      </c>
      <c r="J34" s="254">
        <v>303.8</v>
      </c>
      <c r="K34" s="254">
        <v>234.1</v>
      </c>
      <c r="L34" s="254">
        <v>242.1</v>
      </c>
      <c r="M34" s="254">
        <v>266.8</v>
      </c>
      <c r="N34" s="254">
        <v>255.6</v>
      </c>
      <c r="O34" s="254">
        <v>277.89999999999998</v>
      </c>
      <c r="P34" s="254">
        <v>318.5</v>
      </c>
      <c r="Q34" s="254">
        <v>404</v>
      </c>
    </row>
    <row r="35" spans="1:18">
      <c r="B35" s="95" t="s">
        <v>398</v>
      </c>
      <c r="C35" s="85" t="s">
        <v>397</v>
      </c>
      <c r="D35" s="88">
        <f t="shared" ref="D35:Q35" si="5">D32+D33+D34</f>
        <v>5846.8</v>
      </c>
      <c r="E35" s="88">
        <f t="shared" si="5"/>
        <v>6383</v>
      </c>
      <c r="F35" s="88">
        <f t="shared" si="5"/>
        <v>7188.7000000000007</v>
      </c>
      <c r="G35" s="88">
        <f t="shared" si="5"/>
        <v>7729.6</v>
      </c>
      <c r="H35" s="88">
        <f t="shared" si="5"/>
        <v>7638.3</v>
      </c>
      <c r="I35" s="88">
        <f t="shared" si="5"/>
        <v>7507.9000000000005</v>
      </c>
      <c r="J35" s="88">
        <f t="shared" si="5"/>
        <v>6407.8</v>
      </c>
      <c r="K35" s="88">
        <f t="shared" si="5"/>
        <v>5238.5</v>
      </c>
      <c r="L35" s="88">
        <f t="shared" si="5"/>
        <v>5561.8000000000011</v>
      </c>
      <c r="M35" s="88">
        <f t="shared" si="5"/>
        <v>6015.5</v>
      </c>
      <c r="N35" s="88">
        <f t="shared" si="5"/>
        <v>5990.1</v>
      </c>
      <c r="O35" s="88">
        <f t="shared" si="5"/>
        <v>6390.5</v>
      </c>
      <c r="P35" s="88">
        <f t="shared" si="5"/>
        <v>6809.1</v>
      </c>
      <c r="Q35" s="88">
        <f t="shared" si="5"/>
        <v>7313</v>
      </c>
    </row>
    <row r="36" spans="1:18">
      <c r="B36" s="95" t="s">
        <v>396</v>
      </c>
      <c r="C36" s="85" t="s">
        <v>395</v>
      </c>
      <c r="D36" s="88">
        <f t="shared" ref="D36:Q36" si="6">D37-D35</f>
        <v>2255.2999999999993</v>
      </c>
      <c r="E36" s="88">
        <f t="shared" si="6"/>
        <v>2699.6000000000022</v>
      </c>
      <c r="F36" s="88">
        <f t="shared" si="6"/>
        <v>2883</v>
      </c>
      <c r="G36" s="88">
        <f t="shared" si="6"/>
        <v>3190.1999999999989</v>
      </c>
      <c r="H36" s="88">
        <f t="shared" si="6"/>
        <v>3351.8</v>
      </c>
      <c r="I36" s="88">
        <f t="shared" si="6"/>
        <v>3404.3</v>
      </c>
      <c r="J36" s="88">
        <f t="shared" si="6"/>
        <v>3130.0000000000009</v>
      </c>
      <c r="K36" s="88">
        <f t="shared" si="6"/>
        <v>2611.0999999999995</v>
      </c>
      <c r="L36" s="88">
        <f t="shared" si="6"/>
        <v>2841.1000000000022</v>
      </c>
      <c r="M36" s="88">
        <f t="shared" si="6"/>
        <v>2815.1999999999989</v>
      </c>
      <c r="N36" s="88">
        <f t="shared" si="6"/>
        <v>2783.7999999999993</v>
      </c>
      <c r="O36" s="88">
        <f t="shared" si="6"/>
        <v>2711.1000000000004</v>
      </c>
      <c r="P36" s="88">
        <f t="shared" si="6"/>
        <v>2667.1999999999989</v>
      </c>
      <c r="Q36" s="88">
        <f t="shared" si="6"/>
        <v>3171</v>
      </c>
    </row>
    <row r="37" spans="1:18">
      <c r="B37" s="95" t="s">
        <v>394</v>
      </c>
      <c r="C37" s="85" t="s">
        <v>393</v>
      </c>
      <c r="D37" s="88">
        <f t="shared" ref="D37:Q37" si="7">D19+D38</f>
        <v>8102.0999999999995</v>
      </c>
      <c r="E37" s="88">
        <f t="shared" si="7"/>
        <v>9082.6000000000022</v>
      </c>
      <c r="F37" s="88">
        <f t="shared" si="7"/>
        <v>10071.700000000001</v>
      </c>
      <c r="G37" s="88">
        <f t="shared" si="7"/>
        <v>10919.8</v>
      </c>
      <c r="H37" s="88">
        <f t="shared" si="7"/>
        <v>10990.1</v>
      </c>
      <c r="I37" s="88">
        <f t="shared" si="7"/>
        <v>10912.2</v>
      </c>
      <c r="J37" s="88">
        <f t="shared" si="7"/>
        <v>9537.8000000000011</v>
      </c>
      <c r="K37" s="88">
        <f t="shared" si="7"/>
        <v>7849.5999999999995</v>
      </c>
      <c r="L37" s="88">
        <f t="shared" si="7"/>
        <v>8402.9000000000033</v>
      </c>
      <c r="M37" s="88">
        <f t="shared" si="7"/>
        <v>8830.6999999999989</v>
      </c>
      <c r="N37" s="88">
        <f t="shared" si="7"/>
        <v>8773.9</v>
      </c>
      <c r="O37" s="88">
        <f t="shared" si="7"/>
        <v>9101.6</v>
      </c>
      <c r="P37" s="88">
        <f t="shared" si="7"/>
        <v>9476.2999999999993</v>
      </c>
      <c r="Q37" s="88">
        <f t="shared" si="7"/>
        <v>10484</v>
      </c>
    </row>
    <row r="38" spans="1:18" ht="30">
      <c r="A38" s="112" t="s">
        <v>392</v>
      </c>
      <c r="B38" s="112" t="s">
        <v>391</v>
      </c>
      <c r="C38" s="85" t="s">
        <v>390</v>
      </c>
      <c r="D38" s="88">
        <f t="shared" ref="D38:Q38" si="8">-(D25-D30-D18)</f>
        <v>-988.69999999999982</v>
      </c>
      <c r="E38" s="88">
        <f t="shared" si="8"/>
        <v>-1456.4</v>
      </c>
      <c r="F38" s="88">
        <f t="shared" si="8"/>
        <v>-1450.8000000000002</v>
      </c>
      <c r="G38" s="88">
        <f t="shared" si="8"/>
        <v>-1303.3999999999999</v>
      </c>
      <c r="H38" s="88">
        <f t="shared" si="8"/>
        <v>-1644.6</v>
      </c>
      <c r="I38" s="88">
        <f t="shared" si="8"/>
        <v>-1096.3</v>
      </c>
      <c r="J38" s="88">
        <f t="shared" si="8"/>
        <v>-587.20000000000005</v>
      </c>
      <c r="K38" s="88">
        <f t="shared" si="8"/>
        <v>-780.3</v>
      </c>
      <c r="L38" s="88">
        <f t="shared" si="8"/>
        <v>-410.3</v>
      </c>
      <c r="M38" s="88">
        <f t="shared" si="8"/>
        <v>-51.099999999999966</v>
      </c>
      <c r="N38" s="88">
        <f t="shared" si="8"/>
        <v>406.6</v>
      </c>
      <c r="O38" s="88">
        <f t="shared" si="8"/>
        <v>653.9</v>
      </c>
      <c r="P38" s="88">
        <f t="shared" si="8"/>
        <v>877.4</v>
      </c>
      <c r="Q38" s="88">
        <f t="shared" si="8"/>
        <v>880</v>
      </c>
    </row>
    <row r="39" spans="1:18" ht="6.75" customHeight="1" thickBot="1">
      <c r="A39" s="100"/>
      <c r="B39" s="25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</row>
    <row r="40" spans="1:18" ht="13" thickTop="1">
      <c r="B40" s="252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8">
      <c r="B41" s="252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251"/>
    </row>
    <row r="42" spans="1:18">
      <c r="B42" s="252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251"/>
    </row>
    <row r="43" spans="1:18">
      <c r="B43" s="252"/>
      <c r="C43" s="50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48">
        <v>281</v>
      </c>
    </row>
    <row r="44" spans="1:18">
      <c r="B44" s="93"/>
      <c r="C44" s="93"/>
      <c r="D44" s="93"/>
      <c r="E44" s="93"/>
      <c r="F44" s="93"/>
      <c r="G44" s="93"/>
      <c r="H44" s="93"/>
      <c r="I44" s="52"/>
      <c r="J44" s="52"/>
      <c r="K44" s="52"/>
      <c r="L44" s="52"/>
      <c r="M44" s="52"/>
      <c r="N44" s="52"/>
      <c r="O44" s="52"/>
      <c r="P44" s="52"/>
      <c r="Q44" s="52"/>
    </row>
    <row r="45" spans="1:18">
      <c r="B45" s="93"/>
      <c r="C45" s="93"/>
      <c r="D45" s="93"/>
      <c r="E45" s="93"/>
      <c r="F45" s="93"/>
      <c r="G45" s="93"/>
      <c r="H45" s="93"/>
      <c r="I45" s="52"/>
      <c r="J45" s="52"/>
      <c r="K45" s="52"/>
      <c r="L45" s="52"/>
      <c r="M45" s="52"/>
      <c r="N45" s="52"/>
      <c r="O45" s="52"/>
      <c r="P45" s="52"/>
      <c r="Q45" s="52"/>
    </row>
    <row r="46" spans="1:18">
      <c r="C46" s="93"/>
      <c r="D46" s="93"/>
      <c r="E46" s="93"/>
      <c r="F46" s="93"/>
      <c r="G46" s="250"/>
      <c r="H46" s="93"/>
      <c r="I46" s="52"/>
      <c r="J46" s="52"/>
      <c r="K46" s="52"/>
      <c r="L46" s="52"/>
      <c r="M46" s="52"/>
      <c r="N46" s="52"/>
      <c r="O46" s="52"/>
      <c r="P46" s="52"/>
      <c r="Q46" s="52"/>
    </row>
    <row r="47" spans="1:18">
      <c r="C47" s="93"/>
      <c r="D47" s="93"/>
      <c r="E47" s="93"/>
      <c r="F47" s="93"/>
      <c r="G47" s="93"/>
      <c r="H47" s="93"/>
      <c r="I47" s="52"/>
      <c r="J47" s="52"/>
      <c r="K47" s="52"/>
      <c r="L47" s="52"/>
      <c r="M47" s="52"/>
      <c r="N47" s="52"/>
      <c r="O47" s="52"/>
      <c r="P47" s="52"/>
      <c r="Q47" s="52"/>
    </row>
    <row r="48" spans="1:18">
      <c r="C48" s="93"/>
      <c r="D48" s="93"/>
      <c r="E48" s="93"/>
      <c r="F48" s="93"/>
      <c r="G48" s="93"/>
      <c r="H48" s="93"/>
      <c r="I48" s="52"/>
      <c r="J48" s="52"/>
      <c r="K48" s="52"/>
      <c r="L48" s="52"/>
      <c r="M48" s="52"/>
      <c r="N48" s="52"/>
      <c r="O48" s="52"/>
      <c r="P48" s="52"/>
      <c r="Q48" s="52"/>
    </row>
    <row r="49" spans="2:17">
      <c r="B49" s="93"/>
      <c r="C49" s="93"/>
      <c r="D49" s="93"/>
      <c r="E49" s="93"/>
      <c r="F49" s="93"/>
      <c r="G49" s="93"/>
      <c r="H49" s="93"/>
      <c r="I49" s="52"/>
      <c r="J49" s="52"/>
      <c r="K49" s="52"/>
      <c r="L49" s="52"/>
      <c r="M49" s="52"/>
      <c r="N49" s="52"/>
      <c r="O49" s="52"/>
      <c r="P49" s="52"/>
      <c r="Q49" s="52"/>
    </row>
    <row r="50" spans="2:17">
      <c r="B50" s="93"/>
      <c r="C50" s="93"/>
      <c r="D50" s="93"/>
      <c r="E50" s="93"/>
      <c r="F50" s="93"/>
      <c r="G50" s="93"/>
      <c r="H50" s="93"/>
      <c r="I50" s="52"/>
      <c r="J50" s="52"/>
      <c r="K50" s="52"/>
      <c r="L50" s="52"/>
      <c r="M50" s="52"/>
      <c r="N50" s="52"/>
      <c r="O50" s="52"/>
      <c r="P50" s="52"/>
      <c r="Q50" s="52"/>
    </row>
    <row r="51" spans="2:17">
      <c r="B51" s="93"/>
      <c r="C51" s="93"/>
      <c r="D51" s="93"/>
      <c r="E51" s="93"/>
      <c r="F51" s="93"/>
      <c r="G51" s="93"/>
      <c r="H51" s="93"/>
      <c r="I51" s="52"/>
      <c r="J51" s="52"/>
      <c r="K51" s="52"/>
      <c r="L51" s="52"/>
      <c r="M51" s="52"/>
      <c r="N51" s="52"/>
      <c r="O51" s="52"/>
      <c r="P51" s="52"/>
      <c r="Q51" s="52"/>
    </row>
    <row r="52" spans="2:17">
      <c r="B52" s="93"/>
      <c r="C52" s="249"/>
      <c r="D52" s="93"/>
      <c r="E52" s="93"/>
      <c r="F52" s="93"/>
      <c r="G52" s="93"/>
      <c r="H52" s="93"/>
      <c r="I52" s="52"/>
      <c r="J52" s="52"/>
      <c r="K52" s="52"/>
      <c r="L52" s="52"/>
      <c r="M52" s="52"/>
      <c r="N52" s="52"/>
      <c r="O52" s="52"/>
      <c r="P52" s="52"/>
      <c r="Q52" s="52"/>
    </row>
    <row r="53" spans="2:17">
      <c r="B53" s="93"/>
      <c r="C53" s="249"/>
      <c r="D53" s="93"/>
      <c r="E53" s="93"/>
      <c r="F53" s="93"/>
      <c r="G53" s="93"/>
      <c r="H53" s="93"/>
      <c r="I53" s="52"/>
      <c r="J53" s="52"/>
      <c r="K53" s="52"/>
      <c r="L53" s="52"/>
      <c r="M53" s="52"/>
      <c r="N53" s="52"/>
      <c r="O53" s="52"/>
      <c r="P53" s="52"/>
      <c r="Q53" s="52"/>
    </row>
    <row r="54" spans="2:17">
      <c r="B54" s="93"/>
      <c r="C54" s="249"/>
      <c r="D54" s="93"/>
      <c r="E54" s="93"/>
      <c r="F54" s="93"/>
      <c r="G54" s="93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2:17">
      <c r="B55" s="93"/>
      <c r="C55" s="249"/>
      <c r="D55" s="93"/>
      <c r="E55" s="93"/>
      <c r="F55" s="93"/>
      <c r="G55" s="93"/>
      <c r="H55" s="93"/>
      <c r="I55" s="52"/>
      <c r="J55" s="52"/>
      <c r="K55" s="52"/>
      <c r="L55" s="52"/>
      <c r="M55" s="52"/>
      <c r="N55" s="52"/>
      <c r="O55" s="52"/>
      <c r="P55" s="52"/>
      <c r="Q55" s="52"/>
    </row>
    <row r="56" spans="2:17">
      <c r="D56" s="93"/>
      <c r="E56" s="93"/>
      <c r="F56" s="93"/>
      <c r="G56" s="93"/>
      <c r="H56" s="93"/>
      <c r="I56" s="52"/>
      <c r="J56" s="52"/>
      <c r="K56" s="52"/>
      <c r="L56" s="52"/>
      <c r="M56" s="52"/>
      <c r="N56" s="52"/>
      <c r="O56" s="52"/>
      <c r="P56" s="52"/>
      <c r="Q56" s="52"/>
    </row>
    <row r="57" spans="2:17">
      <c r="D57" s="93"/>
      <c r="E57" s="93"/>
      <c r="F57" s="93"/>
      <c r="G57" s="93"/>
      <c r="H57" s="93"/>
      <c r="I57" s="52"/>
      <c r="J57" s="52"/>
      <c r="K57" s="52"/>
      <c r="L57" s="52"/>
      <c r="M57" s="52"/>
      <c r="N57" s="52"/>
      <c r="O57" s="52"/>
      <c r="P57" s="52"/>
      <c r="Q57" s="52"/>
    </row>
    <row r="58" spans="2:17">
      <c r="D58" s="93"/>
      <c r="E58" s="93"/>
      <c r="F58" s="93"/>
      <c r="G58" s="93"/>
      <c r="H58" s="93"/>
      <c r="I58" s="52"/>
      <c r="J58" s="52"/>
      <c r="K58" s="52"/>
      <c r="L58" s="52"/>
      <c r="M58" s="52"/>
      <c r="N58" s="52"/>
      <c r="O58" s="52"/>
      <c r="P58" s="52"/>
      <c r="Q58" s="52"/>
    </row>
    <row r="59" spans="2:17">
      <c r="B59" s="52"/>
      <c r="D59" s="93"/>
      <c r="E59" s="93"/>
      <c r="F59" s="93"/>
      <c r="G59" s="93"/>
      <c r="H59" s="93"/>
      <c r="I59" s="52"/>
      <c r="J59" s="52"/>
      <c r="K59" s="52"/>
      <c r="L59" s="52"/>
      <c r="M59" s="52"/>
      <c r="N59" s="52"/>
      <c r="O59" s="52"/>
      <c r="P59" s="52"/>
      <c r="Q59" s="52"/>
    </row>
    <row r="60" spans="2:17">
      <c r="D60" s="93"/>
      <c r="E60" s="93"/>
      <c r="F60" s="93"/>
      <c r="G60" s="93"/>
      <c r="H60" s="93"/>
      <c r="I60" s="52"/>
      <c r="J60" s="52"/>
      <c r="K60" s="52"/>
      <c r="L60" s="52"/>
      <c r="M60" s="52"/>
      <c r="N60" s="52"/>
      <c r="O60" s="52"/>
      <c r="P60" s="52"/>
      <c r="Q60" s="52"/>
    </row>
    <row r="61" spans="2:17">
      <c r="D61" s="93"/>
      <c r="E61" s="93"/>
      <c r="F61" s="93"/>
      <c r="G61" s="93"/>
      <c r="H61" s="93"/>
      <c r="I61" s="52"/>
      <c r="J61" s="52"/>
      <c r="K61" s="52"/>
      <c r="L61" s="52"/>
      <c r="M61" s="52"/>
      <c r="N61" s="52"/>
      <c r="O61" s="52"/>
      <c r="P61" s="52"/>
      <c r="Q61" s="52"/>
    </row>
    <row r="62" spans="2:17">
      <c r="D62" s="93"/>
      <c r="E62" s="93"/>
      <c r="F62" s="93"/>
      <c r="G62" s="93"/>
      <c r="H62" s="93"/>
      <c r="I62" s="52"/>
      <c r="J62" s="52"/>
      <c r="K62" s="52"/>
      <c r="L62" s="52"/>
      <c r="M62" s="52"/>
      <c r="N62" s="52"/>
      <c r="O62" s="52"/>
      <c r="P62" s="52"/>
      <c r="Q62" s="52"/>
    </row>
    <row r="63" spans="2:17">
      <c r="D63" s="93"/>
      <c r="E63" s="93"/>
      <c r="F63" s="93"/>
      <c r="G63" s="93"/>
      <c r="H63" s="93"/>
      <c r="I63" s="52"/>
      <c r="J63" s="52"/>
      <c r="K63" s="52"/>
      <c r="L63" s="52"/>
      <c r="M63" s="52"/>
      <c r="N63" s="52"/>
      <c r="O63" s="52"/>
      <c r="P63" s="52"/>
      <c r="Q63" s="52"/>
    </row>
    <row r="64" spans="2:17">
      <c r="D64" s="103"/>
      <c r="E64" s="103"/>
      <c r="F64" s="103"/>
      <c r="G64" s="103"/>
      <c r="H64" s="103"/>
    </row>
    <row r="65" spans="2:8">
      <c r="B65" s="103"/>
      <c r="C65" s="103"/>
      <c r="D65" s="103"/>
      <c r="E65" s="103"/>
      <c r="F65" s="103"/>
      <c r="G65" s="103"/>
      <c r="H65" s="103"/>
    </row>
    <row r="66" spans="2:8">
      <c r="B66" s="103"/>
      <c r="C66" s="103"/>
      <c r="D66" s="103"/>
      <c r="E66" s="103"/>
      <c r="F66" s="103"/>
      <c r="G66" s="103"/>
      <c r="H66" s="103"/>
    </row>
    <row r="67" spans="2:8">
      <c r="B67" s="103"/>
      <c r="C67" s="103"/>
      <c r="D67" s="103"/>
      <c r="E67" s="103"/>
      <c r="F67" s="103"/>
      <c r="G67" s="103"/>
      <c r="H67" s="103"/>
    </row>
    <row r="68" spans="2:8">
      <c r="B68" s="103"/>
      <c r="C68" s="103"/>
      <c r="D68" s="103"/>
      <c r="E68" s="103"/>
      <c r="F68" s="103"/>
      <c r="G68" s="103"/>
      <c r="H68" s="103"/>
    </row>
    <row r="69" spans="2:8">
      <c r="B69" s="103"/>
      <c r="C69" s="103"/>
      <c r="D69" s="103"/>
      <c r="E69" s="103"/>
      <c r="F69" s="103"/>
      <c r="G69" s="103"/>
      <c r="H69" s="103"/>
    </row>
    <row r="70" spans="2:8">
      <c r="B70" s="103"/>
      <c r="C70" s="103"/>
      <c r="D70" s="103"/>
      <c r="E70" s="103"/>
      <c r="F70" s="103"/>
      <c r="G70" s="103"/>
      <c r="H70" s="103"/>
    </row>
  </sheetData>
  <sheetProtection sheet="1" objects="1" scenarios="1"/>
  <pageMargins left="0.55118110236220474" right="0.47244094488188981" top="0" bottom="0" header="0" footer="0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61"/>
  <sheetViews>
    <sheetView zoomScale="125" zoomScaleNormal="125" zoomScalePageLayoutView="125" workbookViewId="0">
      <selection activeCell="D16" sqref="D16:Q16"/>
    </sheetView>
  </sheetViews>
  <sheetFormatPr baseColWidth="10" defaultColWidth="11.5" defaultRowHeight="12" x14ac:dyDescent="0"/>
  <cols>
    <col min="1" max="1" width="3" style="7" customWidth="1"/>
    <col min="2" max="2" width="26.33203125" style="260" customWidth="1"/>
    <col min="3" max="3" width="7.5" style="7" customWidth="1"/>
    <col min="4" max="4" width="6.5" style="7" bestFit="1" customWidth="1"/>
    <col min="5" max="17" width="6.5" style="7" customWidth="1"/>
    <col min="18" max="16384" width="11.5" style="7"/>
  </cols>
  <sheetData>
    <row r="1" spans="1:17">
      <c r="A1" s="281" t="s">
        <v>464</v>
      </c>
      <c r="B1" s="7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>
      <c r="A2" s="281"/>
      <c r="B2" s="7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>
      <c r="A3" s="280" t="s">
        <v>463</v>
      </c>
      <c r="B3" s="7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1"/>
    </row>
    <row r="4" spans="1:17" ht="13" thickBot="1">
      <c r="A4" s="279"/>
      <c r="B4" s="279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</row>
    <row r="5" spans="1:17" s="276" customFormat="1" ht="18.75" customHeight="1" thickTop="1" thickBot="1">
      <c r="A5" s="277"/>
      <c r="B5" s="277"/>
      <c r="C5" s="277"/>
      <c r="D5" s="277">
        <v>1925</v>
      </c>
      <c r="E5" s="277">
        <v>1926</v>
      </c>
      <c r="F5" s="277">
        <v>1927</v>
      </c>
      <c r="G5" s="277">
        <v>1928</v>
      </c>
      <c r="H5" s="277">
        <v>1929</v>
      </c>
      <c r="I5" s="277">
        <v>1930</v>
      </c>
      <c r="J5" s="277">
        <v>1931</v>
      </c>
      <c r="K5" s="277">
        <v>1932</v>
      </c>
      <c r="L5" s="277">
        <v>1933</v>
      </c>
      <c r="M5" s="277">
        <v>1934</v>
      </c>
      <c r="N5" s="277">
        <v>1935</v>
      </c>
      <c r="O5" s="277">
        <v>1936</v>
      </c>
      <c r="P5" s="277">
        <v>1937</v>
      </c>
      <c r="Q5" s="277">
        <v>1938</v>
      </c>
    </row>
    <row r="6" spans="1:17" s="273" customFormat="1" ht="16.5" customHeight="1" thickTop="1">
      <c r="A6" s="275" t="s">
        <v>38</v>
      </c>
      <c r="B6" s="274" t="s">
        <v>382</v>
      </c>
      <c r="C6" s="2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17" ht="12.75" customHeight="1">
      <c r="A7" s="271"/>
      <c r="B7" s="251" t="s">
        <v>444</v>
      </c>
      <c r="C7" s="88" t="s">
        <v>36</v>
      </c>
      <c r="D7" s="88">
        <f>'a-1d'!E13</f>
        <v>5321</v>
      </c>
      <c r="E7" s="88">
        <f>'a-1d'!F13</f>
        <v>6561.4</v>
      </c>
      <c r="F7" s="88">
        <f>'a-1d'!G13</f>
        <v>7153.9</v>
      </c>
      <c r="G7" s="88">
        <f>'a-1d'!H13</f>
        <v>8375.1</v>
      </c>
      <c r="H7" s="88">
        <f>'a-1d'!I13</f>
        <v>8041.9</v>
      </c>
      <c r="I7" s="88">
        <f>'a-1d'!J13</f>
        <v>8626.2999999999993</v>
      </c>
      <c r="J7" s="88">
        <f>'a-1d'!K13</f>
        <v>7042.9</v>
      </c>
      <c r="K7" s="88">
        <f>'a-1d'!L13</f>
        <v>6155.1</v>
      </c>
      <c r="L7" s="88">
        <f>'a-1d'!M13</f>
        <v>6089.2</v>
      </c>
      <c r="M7" s="88">
        <f>'a-1d'!N13</f>
        <v>7992.1</v>
      </c>
      <c r="N7" s="88">
        <f>'a-1d'!O13</f>
        <v>10004.9</v>
      </c>
      <c r="O7" s="88">
        <f>'a-1d'!P13</f>
        <v>13096.3</v>
      </c>
      <c r="P7" s="88">
        <f>'a-1d'!Q13</f>
        <v>17146.3</v>
      </c>
      <c r="Q7" s="88">
        <f>'a-1d'!R13</f>
        <v>28593.7</v>
      </c>
    </row>
    <row r="8" spans="1:17">
      <c r="A8" s="271"/>
      <c r="B8" s="251" t="s">
        <v>442</v>
      </c>
      <c r="C8" s="88" t="s">
        <v>430</v>
      </c>
      <c r="D8" s="88">
        <f>'a-10'!D13</f>
        <v>9144.5</v>
      </c>
      <c r="E8" s="88">
        <f>'a-10'!E13</f>
        <v>10639.400000000001</v>
      </c>
      <c r="F8" s="88">
        <f>'a-10'!F13</f>
        <v>11647</v>
      </c>
      <c r="G8" s="88">
        <f>'a-10'!G13</f>
        <v>12426.199999999999</v>
      </c>
      <c r="H8" s="88">
        <f>'a-10'!H13</f>
        <v>12829.7</v>
      </c>
      <c r="I8" s="88">
        <f>'a-10'!I13</f>
        <v>12244.4</v>
      </c>
      <c r="J8" s="88">
        <f>'a-10'!J13</f>
        <v>10354.500000000002</v>
      </c>
      <c r="K8" s="88">
        <f>'a-10'!K13</f>
        <v>8803.1</v>
      </c>
      <c r="L8" s="88">
        <f>'a-10'!L13</f>
        <v>9062.5000000000018</v>
      </c>
      <c r="M8" s="88">
        <f>'a-10'!M13</f>
        <v>9192.7999999999993</v>
      </c>
      <c r="N8" s="88">
        <f>'a-10'!N13</f>
        <v>8733.0999999999985</v>
      </c>
      <c r="O8" s="88">
        <f>'a-10'!O13</f>
        <v>8944.6</v>
      </c>
      <c r="P8" s="88">
        <f>'a-10'!P13</f>
        <v>9204.6</v>
      </c>
      <c r="Q8" s="88">
        <f>'a-10'!Q13</f>
        <v>10190</v>
      </c>
    </row>
    <row r="9" spans="1:17" ht="30">
      <c r="A9" s="271"/>
      <c r="B9" s="270" t="s">
        <v>462</v>
      </c>
      <c r="C9" s="88" t="s">
        <v>461</v>
      </c>
      <c r="D9" s="88">
        <f t="shared" ref="D9:Q9" si="0">D7+D8</f>
        <v>14465.5</v>
      </c>
      <c r="E9" s="88">
        <f t="shared" si="0"/>
        <v>17200.800000000003</v>
      </c>
      <c r="F9" s="88">
        <f t="shared" si="0"/>
        <v>18800.900000000001</v>
      </c>
      <c r="G9" s="88">
        <f t="shared" si="0"/>
        <v>20801.3</v>
      </c>
      <c r="H9" s="88">
        <f t="shared" si="0"/>
        <v>20871.599999999999</v>
      </c>
      <c r="I9" s="88">
        <f t="shared" si="0"/>
        <v>20870.699999999997</v>
      </c>
      <c r="J9" s="88">
        <f t="shared" si="0"/>
        <v>17397.400000000001</v>
      </c>
      <c r="K9" s="88">
        <f t="shared" si="0"/>
        <v>14958.2</v>
      </c>
      <c r="L9" s="88">
        <f t="shared" si="0"/>
        <v>15151.7</v>
      </c>
      <c r="M9" s="88">
        <f t="shared" si="0"/>
        <v>17184.900000000001</v>
      </c>
      <c r="N9" s="88">
        <f t="shared" si="0"/>
        <v>18738</v>
      </c>
      <c r="O9" s="88">
        <f t="shared" si="0"/>
        <v>22040.9</v>
      </c>
      <c r="P9" s="88">
        <f t="shared" si="0"/>
        <v>26350.9</v>
      </c>
      <c r="Q9" s="88">
        <f t="shared" si="0"/>
        <v>38783.699999999997</v>
      </c>
    </row>
    <row r="10" spans="1:17" ht="20">
      <c r="A10" s="271"/>
      <c r="B10" s="270" t="s">
        <v>460</v>
      </c>
      <c r="C10" s="88" t="s">
        <v>54</v>
      </c>
      <c r="D10" s="88"/>
      <c r="E10" s="88"/>
      <c r="F10" s="88"/>
      <c r="G10" s="88"/>
      <c r="H10" s="88"/>
      <c r="I10" s="88"/>
      <c r="J10" s="88"/>
      <c r="K10" s="88">
        <f>'a-2d'!E19</f>
        <v>154</v>
      </c>
      <c r="L10" s="88">
        <f>'a-2d'!F19</f>
        <v>1277</v>
      </c>
      <c r="M10" s="88">
        <f>'a-2d'!G19</f>
        <v>2818</v>
      </c>
      <c r="N10" s="88">
        <f>'a-2d'!H19</f>
        <v>2455</v>
      </c>
      <c r="O10" s="88">
        <f>'a-2d'!I19</f>
        <v>3084</v>
      </c>
      <c r="P10" s="88">
        <f>'a-2d'!J19</f>
        <v>2347</v>
      </c>
      <c r="Q10" s="88">
        <f>'a-2d'!K19</f>
        <v>545</v>
      </c>
    </row>
    <row r="11" spans="1:17" ht="30">
      <c r="A11" s="271"/>
      <c r="B11" s="270" t="s">
        <v>459</v>
      </c>
      <c r="C11" s="88" t="s">
        <v>458</v>
      </c>
      <c r="D11" s="88">
        <f t="shared" ref="D11:Q11" si="1">D9+D10</f>
        <v>14465.5</v>
      </c>
      <c r="E11" s="88">
        <f t="shared" si="1"/>
        <v>17200.800000000003</v>
      </c>
      <c r="F11" s="88">
        <f t="shared" si="1"/>
        <v>18800.900000000001</v>
      </c>
      <c r="G11" s="88">
        <f t="shared" si="1"/>
        <v>20801.3</v>
      </c>
      <c r="H11" s="88">
        <f t="shared" si="1"/>
        <v>20871.599999999999</v>
      </c>
      <c r="I11" s="88">
        <f t="shared" si="1"/>
        <v>20870.699999999997</v>
      </c>
      <c r="J11" s="88">
        <f t="shared" si="1"/>
        <v>17397.400000000001</v>
      </c>
      <c r="K11" s="88">
        <f t="shared" si="1"/>
        <v>15112.2</v>
      </c>
      <c r="L11" s="88">
        <f t="shared" si="1"/>
        <v>16428.7</v>
      </c>
      <c r="M11" s="88">
        <f t="shared" si="1"/>
        <v>20002.900000000001</v>
      </c>
      <c r="N11" s="88">
        <f t="shared" si="1"/>
        <v>21193</v>
      </c>
      <c r="O11" s="88">
        <f t="shared" si="1"/>
        <v>25124.9</v>
      </c>
      <c r="P11" s="88">
        <f t="shared" si="1"/>
        <v>28697.9</v>
      </c>
      <c r="Q11" s="88">
        <f t="shared" si="1"/>
        <v>39328.699999999997</v>
      </c>
    </row>
    <row r="12" spans="1:17" ht="22.5" customHeight="1">
      <c r="A12" s="272" t="s">
        <v>457</v>
      </c>
      <c r="B12" s="268" t="s">
        <v>456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</row>
    <row r="13" spans="1:17" ht="12.75" customHeight="1">
      <c r="A13" s="271"/>
      <c r="B13" s="251" t="s">
        <v>444</v>
      </c>
      <c r="C13" s="88" t="s">
        <v>84</v>
      </c>
      <c r="D13" s="88">
        <f>'a-3d'!D29</f>
        <v>113.39999999999999</v>
      </c>
      <c r="E13" s="88">
        <f>'a-3d'!E29</f>
        <v>336.09999999999997</v>
      </c>
      <c r="F13" s="88">
        <f>'a-3d'!F29</f>
        <v>509.6</v>
      </c>
      <c r="G13" s="88">
        <f>'a-3d'!G29</f>
        <v>552.29999999999995</v>
      </c>
      <c r="H13" s="88">
        <f>'a-3d'!H29</f>
        <v>528.40000000000009</v>
      </c>
      <c r="I13" s="88">
        <f>'a-3d'!I29</f>
        <v>911.9</v>
      </c>
      <c r="J13" s="88">
        <f>'a-3d'!J29</f>
        <v>797.1</v>
      </c>
      <c r="K13" s="88">
        <f>'a-3d'!K29</f>
        <v>768.1</v>
      </c>
      <c r="L13" s="88">
        <f>'a-3d'!L29</f>
        <v>390.3</v>
      </c>
      <c r="M13" s="88">
        <f>'a-3d'!M29</f>
        <v>352</v>
      </c>
      <c r="N13" s="88">
        <f>'a-3d'!N29</f>
        <v>348.4</v>
      </c>
      <c r="O13" s="88">
        <f>'a-3d'!O29</f>
        <v>674.4</v>
      </c>
      <c r="P13" s="88">
        <f>'a-3d'!P29</f>
        <v>624.4</v>
      </c>
      <c r="Q13" s="88">
        <f>'a-3d'!Q29</f>
        <v>928</v>
      </c>
    </row>
    <row r="14" spans="1:17">
      <c r="A14" s="271"/>
      <c r="B14" s="251" t="s">
        <v>442</v>
      </c>
      <c r="C14" s="88" t="s">
        <v>424</v>
      </c>
      <c r="D14" s="88">
        <f>'a-10'!D18</f>
        <v>53.7</v>
      </c>
      <c r="E14" s="88">
        <f>'a-10'!E18</f>
        <v>100.4</v>
      </c>
      <c r="F14" s="88">
        <f>'a-10'!F18</f>
        <v>124.5</v>
      </c>
      <c r="G14" s="88">
        <f>'a-10'!G18</f>
        <v>203</v>
      </c>
      <c r="H14" s="88">
        <f>'a-10'!H18</f>
        <v>195</v>
      </c>
      <c r="I14" s="88">
        <f>'a-10'!I18</f>
        <v>235.9</v>
      </c>
      <c r="J14" s="87">
        <f>'a-10'!J18</f>
        <v>229.5</v>
      </c>
      <c r="K14" s="88">
        <f>'a-10'!K18</f>
        <v>173.2</v>
      </c>
      <c r="L14" s="88">
        <f>'a-10'!L18</f>
        <v>249.3</v>
      </c>
      <c r="M14" s="88">
        <f>'a-10'!M18</f>
        <v>311</v>
      </c>
      <c r="N14" s="88">
        <f>'a-10'!N18</f>
        <v>365.8</v>
      </c>
      <c r="O14" s="88">
        <f>'a-10'!O18</f>
        <v>496.9</v>
      </c>
      <c r="P14" s="88">
        <f>'a-10'!P18</f>
        <v>605.70000000000005</v>
      </c>
      <c r="Q14" s="88">
        <f>'a-10'!Q18</f>
        <v>586</v>
      </c>
    </row>
    <row r="15" spans="1:17" ht="20">
      <c r="A15" s="271"/>
      <c r="B15" s="270" t="s">
        <v>455</v>
      </c>
      <c r="C15" s="88" t="s">
        <v>454</v>
      </c>
      <c r="D15" s="88">
        <f t="shared" ref="D15:Q15" si="2">D13+D14</f>
        <v>167.1</v>
      </c>
      <c r="E15" s="88">
        <f t="shared" si="2"/>
        <v>436.5</v>
      </c>
      <c r="F15" s="88">
        <f t="shared" si="2"/>
        <v>634.1</v>
      </c>
      <c r="G15" s="88">
        <f t="shared" si="2"/>
        <v>755.3</v>
      </c>
      <c r="H15" s="88">
        <f t="shared" si="2"/>
        <v>723.40000000000009</v>
      </c>
      <c r="I15" s="88">
        <f t="shared" si="2"/>
        <v>1147.8</v>
      </c>
      <c r="J15" s="87">
        <f t="shared" si="2"/>
        <v>1026.5999999999999</v>
      </c>
      <c r="K15" s="88">
        <f t="shared" si="2"/>
        <v>941.3</v>
      </c>
      <c r="L15" s="88">
        <f t="shared" si="2"/>
        <v>639.6</v>
      </c>
      <c r="M15" s="88">
        <f t="shared" si="2"/>
        <v>663</v>
      </c>
      <c r="N15" s="88">
        <f t="shared" si="2"/>
        <v>714.2</v>
      </c>
      <c r="O15" s="88">
        <f t="shared" si="2"/>
        <v>1171.3</v>
      </c>
      <c r="P15" s="88">
        <f t="shared" si="2"/>
        <v>1230.0999999999999</v>
      </c>
      <c r="Q15" s="88">
        <f t="shared" si="2"/>
        <v>1514</v>
      </c>
    </row>
    <row r="16" spans="1:17" ht="22.5" customHeight="1">
      <c r="A16" s="272" t="s">
        <v>453</v>
      </c>
      <c r="B16" s="268" t="s">
        <v>452</v>
      </c>
      <c r="C16" s="88" t="s">
        <v>451</v>
      </c>
      <c r="D16" s="88">
        <f t="shared" ref="D16:Q16" si="3">D11-D15</f>
        <v>14298.4</v>
      </c>
      <c r="E16" s="88">
        <f t="shared" si="3"/>
        <v>16764.300000000003</v>
      </c>
      <c r="F16" s="88">
        <f t="shared" si="3"/>
        <v>18166.800000000003</v>
      </c>
      <c r="G16" s="88">
        <f t="shared" si="3"/>
        <v>20046</v>
      </c>
      <c r="H16" s="88">
        <f t="shared" si="3"/>
        <v>20148.199999999997</v>
      </c>
      <c r="I16" s="88">
        <f t="shared" si="3"/>
        <v>19722.899999999998</v>
      </c>
      <c r="J16" s="88">
        <f t="shared" si="3"/>
        <v>16370.800000000001</v>
      </c>
      <c r="K16" s="88">
        <f t="shared" si="3"/>
        <v>14170.900000000001</v>
      </c>
      <c r="L16" s="88">
        <f t="shared" si="3"/>
        <v>15789.1</v>
      </c>
      <c r="M16" s="88">
        <f t="shared" si="3"/>
        <v>19339.900000000001</v>
      </c>
      <c r="N16" s="88">
        <f t="shared" si="3"/>
        <v>20478.8</v>
      </c>
      <c r="O16" s="88">
        <f t="shared" si="3"/>
        <v>23953.600000000002</v>
      </c>
      <c r="P16" s="88">
        <f t="shared" si="3"/>
        <v>27467.800000000003</v>
      </c>
      <c r="Q16" s="88">
        <f t="shared" si="3"/>
        <v>37814.699999999997</v>
      </c>
    </row>
    <row r="17" spans="1:17" ht="22.5" customHeight="1">
      <c r="A17" s="272" t="s">
        <v>450</v>
      </c>
      <c r="B17" s="268" t="s">
        <v>449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</row>
    <row r="18" spans="1:17" ht="12.5" customHeight="1">
      <c r="A18" s="271"/>
      <c r="B18" s="251" t="s">
        <v>448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</row>
    <row r="19" spans="1:17">
      <c r="A19" s="271"/>
      <c r="B19" s="251" t="s">
        <v>444</v>
      </c>
      <c r="C19" s="88" t="s">
        <v>34</v>
      </c>
      <c r="D19" s="88">
        <f>'a-1d'!E14</f>
        <v>4731.3999999999996</v>
      </c>
      <c r="E19" s="88">
        <f>'a-1d'!F14</f>
        <v>5312.4</v>
      </c>
      <c r="F19" s="88">
        <f>'a-1d'!G14</f>
        <v>6356.8</v>
      </c>
      <c r="G19" s="88">
        <f>'a-1d'!H14</f>
        <v>6568.3</v>
      </c>
      <c r="H19" s="88">
        <f>'a-1d'!I14</f>
        <v>6740.7</v>
      </c>
      <c r="I19" s="88">
        <f>'a-1d'!J14</f>
        <v>6634</v>
      </c>
      <c r="J19" s="88">
        <f>'a-1d'!K14</f>
        <v>5703.6</v>
      </c>
      <c r="K19" s="88">
        <f>'a-1d'!L14</f>
        <v>4993.5</v>
      </c>
      <c r="L19" s="88">
        <f>'a-1d'!M14</f>
        <v>5025.8999999999996</v>
      </c>
      <c r="M19" s="88">
        <f>'a-1d'!N14</f>
        <v>5461.4</v>
      </c>
      <c r="N19" s="88">
        <f>'a-1d'!O14</f>
        <v>7071.9</v>
      </c>
      <c r="O19" s="88">
        <f>'a-1d'!P14</f>
        <v>8681.5</v>
      </c>
      <c r="P19" s="88">
        <f>'a-1d'!Q14</f>
        <v>11276.6</v>
      </c>
      <c r="Q19" s="88">
        <f>'a-1d'!R14</f>
        <v>15416.1</v>
      </c>
    </row>
    <row r="20" spans="1:17">
      <c r="A20" s="271"/>
      <c r="B20" s="251" t="s">
        <v>442</v>
      </c>
      <c r="C20" s="88" t="s">
        <v>393</v>
      </c>
      <c r="D20" s="87">
        <f>'a-10'!D35</f>
        <v>5846.8</v>
      </c>
      <c r="E20" s="87">
        <f>'a-10'!E35</f>
        <v>6383</v>
      </c>
      <c r="F20" s="87">
        <f>'a-10'!F35</f>
        <v>7188.7000000000007</v>
      </c>
      <c r="G20" s="87">
        <f>'a-10'!G35</f>
        <v>7729.6</v>
      </c>
      <c r="H20" s="87">
        <f>'a-10'!H35</f>
        <v>7638.3</v>
      </c>
      <c r="I20" s="87">
        <f>'a-10'!I35</f>
        <v>7507.9000000000005</v>
      </c>
      <c r="J20" s="87">
        <f>'a-10'!J35</f>
        <v>6407.8</v>
      </c>
      <c r="K20" s="87">
        <f>'a-10'!K35</f>
        <v>5238.5</v>
      </c>
      <c r="L20" s="87">
        <f>'a-10'!L35</f>
        <v>5561.8000000000011</v>
      </c>
      <c r="M20" s="87">
        <f>'a-10'!M35</f>
        <v>6015.5</v>
      </c>
      <c r="N20" s="87">
        <f>'a-10'!N35</f>
        <v>5990.1</v>
      </c>
      <c r="O20" s="87">
        <f>'a-10'!O35</f>
        <v>6390.5</v>
      </c>
      <c r="P20" s="87">
        <f>'a-10'!P35</f>
        <v>6809.1</v>
      </c>
      <c r="Q20" s="87">
        <f>'a-10'!Q35</f>
        <v>7313</v>
      </c>
    </row>
    <row r="21" spans="1:17" ht="20">
      <c r="A21" s="271"/>
      <c r="B21" s="270" t="s">
        <v>447</v>
      </c>
      <c r="C21" s="88" t="s">
        <v>446</v>
      </c>
      <c r="D21" s="87">
        <f t="shared" ref="D21:Q21" si="4">D19+D20</f>
        <v>10578.2</v>
      </c>
      <c r="E21" s="87">
        <f t="shared" si="4"/>
        <v>11695.4</v>
      </c>
      <c r="F21" s="87">
        <f t="shared" si="4"/>
        <v>13545.5</v>
      </c>
      <c r="G21" s="87">
        <f t="shared" si="4"/>
        <v>14297.900000000001</v>
      </c>
      <c r="H21" s="87">
        <f t="shared" si="4"/>
        <v>14379</v>
      </c>
      <c r="I21" s="87">
        <f t="shared" si="4"/>
        <v>14141.900000000001</v>
      </c>
      <c r="J21" s="87">
        <f t="shared" si="4"/>
        <v>12111.400000000001</v>
      </c>
      <c r="K21" s="87">
        <f t="shared" si="4"/>
        <v>10232</v>
      </c>
      <c r="L21" s="87">
        <f t="shared" si="4"/>
        <v>10587.7</v>
      </c>
      <c r="M21" s="87">
        <f t="shared" si="4"/>
        <v>11476.9</v>
      </c>
      <c r="N21" s="87">
        <f t="shared" si="4"/>
        <v>13062</v>
      </c>
      <c r="O21" s="87">
        <f t="shared" si="4"/>
        <v>15072</v>
      </c>
      <c r="P21" s="87">
        <f t="shared" si="4"/>
        <v>18085.7</v>
      </c>
      <c r="Q21" s="87">
        <f t="shared" si="4"/>
        <v>22729.1</v>
      </c>
    </row>
    <row r="22" spans="1:17" ht="12.75" customHeight="1">
      <c r="A22" s="271"/>
      <c r="B22" s="251" t="s">
        <v>445</v>
      </c>
      <c r="C22" s="88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>
      <c r="A23" s="271"/>
      <c r="B23" s="251" t="s">
        <v>444</v>
      </c>
      <c r="C23" s="88" t="s">
        <v>443</v>
      </c>
      <c r="D23" s="87">
        <f>'a-1d'!E15+'a-1d'!E16+'a-1d'!E17</f>
        <v>139.80000000000001</v>
      </c>
      <c r="E23" s="87">
        <f>'a-1d'!F15+'a-1d'!F16+'a-1d'!F17</f>
        <v>395.9</v>
      </c>
      <c r="F23" s="87">
        <f>'a-1d'!G15+'a-1d'!G16+'a-1d'!G17</f>
        <v>443.79999999999995</v>
      </c>
      <c r="G23" s="87">
        <f>'a-1d'!H15+'a-1d'!H16+'a-1d'!H17</f>
        <v>569.69999999999993</v>
      </c>
      <c r="H23" s="87">
        <f>'a-1d'!I15+'a-1d'!I16+'a-1d'!I17</f>
        <v>625.70000000000005</v>
      </c>
      <c r="I23" s="87">
        <f>'a-1d'!J15+'a-1d'!J16+'a-1d'!J17</f>
        <v>921</v>
      </c>
      <c r="J23" s="87">
        <f>'a-1d'!K15+'a-1d'!K16+'a-1d'!K17</f>
        <v>738.7</v>
      </c>
      <c r="K23" s="87">
        <f>'a-1d'!L15+'a-1d'!L16+'a-1d'!L17</f>
        <v>598.4</v>
      </c>
      <c r="L23" s="87">
        <f>'a-1d'!M15+'a-1d'!M16+'a-1d'!M17</f>
        <v>706.2</v>
      </c>
      <c r="M23" s="87">
        <f>'a-1d'!N15+'a-1d'!N16+'a-1d'!N17</f>
        <v>1064.9000000000001</v>
      </c>
      <c r="N23" s="87">
        <f>'a-1d'!O15+'a-1d'!O16+'a-1d'!O17</f>
        <v>869.40000000000009</v>
      </c>
      <c r="O23" s="87">
        <f>'a-1d'!P15+'a-1d'!P16+'a-1d'!P17</f>
        <v>1615.4</v>
      </c>
      <c r="P23" s="87">
        <f>'a-1d'!Q15+'a-1d'!Q16+'a-1d'!Q17</f>
        <v>1977.9</v>
      </c>
      <c r="Q23" s="87">
        <f>'a-1d'!R15+'a-1d'!R16+'a-1d'!R17</f>
        <v>2611.7999999999997</v>
      </c>
    </row>
    <row r="24" spans="1:17">
      <c r="A24" s="271"/>
      <c r="B24" s="251" t="s">
        <v>442</v>
      </c>
      <c r="C24" s="210" t="s">
        <v>390</v>
      </c>
      <c r="D24" s="87">
        <f>'a-10'!D36</f>
        <v>2255.2999999999993</v>
      </c>
      <c r="E24" s="87">
        <f>'a-10'!E36</f>
        <v>2699.6000000000022</v>
      </c>
      <c r="F24" s="87">
        <f>'a-10'!F36</f>
        <v>2883</v>
      </c>
      <c r="G24" s="87">
        <f>'a-10'!G36</f>
        <v>3190.1999999999989</v>
      </c>
      <c r="H24" s="87">
        <f>'a-10'!H36</f>
        <v>3351.8</v>
      </c>
      <c r="I24" s="87">
        <f>'a-10'!I36</f>
        <v>3404.3</v>
      </c>
      <c r="J24" s="87">
        <f>'a-10'!J36</f>
        <v>3130.0000000000009</v>
      </c>
      <c r="K24" s="87">
        <f>'a-10'!K36</f>
        <v>2611.0999999999995</v>
      </c>
      <c r="L24" s="87">
        <f>'a-10'!L36</f>
        <v>2841.1000000000022</v>
      </c>
      <c r="M24" s="87">
        <f>'a-10'!M36</f>
        <v>2815.1999999999989</v>
      </c>
      <c r="N24" s="87">
        <f>'a-10'!N36</f>
        <v>2783.7999999999993</v>
      </c>
      <c r="O24" s="87">
        <f>'a-10'!O36</f>
        <v>2711.1000000000004</v>
      </c>
      <c r="P24" s="87">
        <f>'a-10'!P36</f>
        <v>2667.1999999999989</v>
      </c>
      <c r="Q24" s="87">
        <f>'a-10'!Q36</f>
        <v>3171</v>
      </c>
    </row>
    <row r="25" spans="1:17" ht="20">
      <c r="A25" s="271"/>
      <c r="B25" s="270" t="s">
        <v>441</v>
      </c>
      <c r="C25" s="88" t="s">
        <v>440</v>
      </c>
      <c r="D25" s="87">
        <f t="shared" ref="D25:Q25" si="5">D23+D24</f>
        <v>2395.0999999999995</v>
      </c>
      <c r="E25" s="87">
        <f t="shared" si="5"/>
        <v>3095.5000000000023</v>
      </c>
      <c r="F25" s="87">
        <f t="shared" si="5"/>
        <v>3326.8</v>
      </c>
      <c r="G25" s="87">
        <f t="shared" si="5"/>
        <v>3759.8999999999987</v>
      </c>
      <c r="H25" s="87">
        <f t="shared" si="5"/>
        <v>3977.5</v>
      </c>
      <c r="I25" s="87">
        <f t="shared" si="5"/>
        <v>4325.3</v>
      </c>
      <c r="J25" s="87">
        <f t="shared" si="5"/>
        <v>3868.7000000000007</v>
      </c>
      <c r="K25" s="87">
        <f t="shared" si="5"/>
        <v>3209.4999999999995</v>
      </c>
      <c r="L25" s="87">
        <f t="shared" si="5"/>
        <v>3547.300000000002</v>
      </c>
      <c r="M25" s="87">
        <f t="shared" si="5"/>
        <v>3880.099999999999</v>
      </c>
      <c r="N25" s="87">
        <f t="shared" si="5"/>
        <v>3653.1999999999994</v>
      </c>
      <c r="O25" s="87">
        <f t="shared" si="5"/>
        <v>4326.5</v>
      </c>
      <c r="P25" s="87">
        <f t="shared" si="5"/>
        <v>4645.0999999999985</v>
      </c>
      <c r="Q25" s="87">
        <f t="shared" si="5"/>
        <v>5782.7999999999993</v>
      </c>
    </row>
    <row r="26" spans="1:17" ht="30">
      <c r="A26" s="269" t="s">
        <v>439</v>
      </c>
      <c r="B26" s="268" t="s">
        <v>438</v>
      </c>
      <c r="C26" s="88" t="s">
        <v>437</v>
      </c>
      <c r="D26" s="87">
        <f t="shared" ref="D26:Q26" si="6">D16-D21-D25</f>
        <v>1325.0999999999995</v>
      </c>
      <c r="E26" s="87">
        <f t="shared" si="6"/>
        <v>1973.400000000001</v>
      </c>
      <c r="F26" s="87">
        <f t="shared" si="6"/>
        <v>1294.5000000000027</v>
      </c>
      <c r="G26" s="87">
        <f t="shared" si="6"/>
        <v>1988.1999999999998</v>
      </c>
      <c r="H26" s="87">
        <f t="shared" si="6"/>
        <v>1791.6999999999971</v>
      </c>
      <c r="I26" s="87">
        <f t="shared" si="6"/>
        <v>1255.6999999999962</v>
      </c>
      <c r="J26" s="87">
        <f t="shared" si="6"/>
        <v>390.69999999999891</v>
      </c>
      <c r="K26" s="87">
        <f t="shared" si="6"/>
        <v>729.40000000000191</v>
      </c>
      <c r="L26" s="87">
        <f t="shared" si="6"/>
        <v>1654.0999999999976</v>
      </c>
      <c r="M26" s="87">
        <f t="shared" si="6"/>
        <v>3982.9000000000028</v>
      </c>
      <c r="N26" s="87">
        <f t="shared" si="6"/>
        <v>3763.6</v>
      </c>
      <c r="O26" s="87">
        <f t="shared" si="6"/>
        <v>4555.1000000000022</v>
      </c>
      <c r="P26" s="87">
        <f t="shared" si="6"/>
        <v>4737.0000000000036</v>
      </c>
      <c r="Q26" s="87">
        <f t="shared" si="6"/>
        <v>9302.7999999999993</v>
      </c>
    </row>
    <row r="27" spans="1:17" ht="6.75" customHeight="1" thickBot="1">
      <c r="A27" s="267"/>
      <c r="B27" s="267"/>
      <c r="C27" s="221"/>
      <c r="D27" s="265"/>
      <c r="E27" s="265"/>
      <c r="F27" s="265"/>
      <c r="G27" s="266"/>
      <c r="H27" s="266"/>
      <c r="I27" s="266"/>
      <c r="J27" s="265"/>
      <c r="K27" s="266"/>
      <c r="L27" s="265"/>
      <c r="M27" s="266"/>
      <c r="N27" s="266"/>
      <c r="O27" s="266"/>
      <c r="P27" s="266"/>
      <c r="Q27" s="265"/>
    </row>
    <row r="28" spans="1:17" ht="13" thickTop="1">
      <c r="A28" s="261"/>
      <c r="B28" s="264"/>
      <c r="C28" s="201"/>
      <c r="D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</row>
    <row r="29" spans="1:17">
      <c r="A29" s="251"/>
      <c r="B29" s="251"/>
      <c r="C29" s="251"/>
      <c r="D29" s="88"/>
      <c r="E29" s="88"/>
      <c r="F29" s="88"/>
      <c r="G29" s="88"/>
      <c r="H29" s="201"/>
      <c r="I29" s="201"/>
      <c r="J29" s="201"/>
      <c r="K29" s="201"/>
      <c r="L29" s="201"/>
      <c r="M29" s="201"/>
      <c r="N29" s="201"/>
      <c r="O29" s="201"/>
      <c r="P29" s="201"/>
      <c r="Q29" s="201"/>
    </row>
    <row r="30" spans="1:17">
      <c r="A30" s="251"/>
      <c r="B30" s="7"/>
      <c r="C30" s="251"/>
      <c r="D30" s="88"/>
      <c r="E30" s="88"/>
      <c r="F30" s="88"/>
      <c r="G30" s="88"/>
      <c r="H30" s="201"/>
      <c r="I30" s="201"/>
      <c r="J30" s="201"/>
      <c r="K30" s="201"/>
      <c r="L30" s="201"/>
      <c r="M30" s="201"/>
      <c r="N30" s="201"/>
      <c r="O30" s="201"/>
      <c r="P30" s="201"/>
      <c r="Q30" s="201"/>
    </row>
    <row r="31" spans="1:17">
      <c r="A31" s="261"/>
      <c r="B31" s="251"/>
      <c r="C31" s="263"/>
      <c r="D31" s="88"/>
      <c r="E31" s="88"/>
      <c r="F31" s="251"/>
      <c r="G31" s="88"/>
      <c r="H31" s="263"/>
      <c r="I31" s="88"/>
      <c r="J31" s="88"/>
      <c r="K31" s="201"/>
      <c r="L31" s="251"/>
      <c r="M31" s="201"/>
      <c r="N31" s="263"/>
      <c r="O31" s="88"/>
      <c r="P31" s="88"/>
      <c r="Q31" s="201"/>
    </row>
    <row r="32" spans="1:17">
      <c r="A32" s="261"/>
      <c r="B32" s="251"/>
      <c r="C32" s="263"/>
      <c r="D32" s="88"/>
      <c r="E32" s="88"/>
      <c r="F32" s="251"/>
      <c r="G32" s="88"/>
      <c r="H32" s="263"/>
      <c r="I32" s="88"/>
      <c r="J32" s="88"/>
      <c r="K32" s="201"/>
      <c r="L32" s="251"/>
      <c r="M32" s="201"/>
      <c r="N32" s="263"/>
      <c r="O32" s="88"/>
      <c r="P32" s="88"/>
      <c r="Q32" s="201"/>
    </row>
    <row r="33" spans="1:17">
      <c r="A33" s="261"/>
      <c r="B33" s="251"/>
      <c r="C33" s="263"/>
      <c r="D33" s="88"/>
      <c r="E33" s="88"/>
      <c r="F33" s="251"/>
      <c r="G33" s="88"/>
      <c r="H33" s="263"/>
      <c r="I33" s="88"/>
      <c r="J33" s="88"/>
      <c r="K33" s="201"/>
      <c r="L33" s="201"/>
      <c r="M33" s="201"/>
      <c r="N33" s="201"/>
      <c r="O33" s="201"/>
      <c r="P33" s="88"/>
      <c r="Q33" s="201"/>
    </row>
    <row r="34" spans="1:17">
      <c r="A34" s="261"/>
      <c r="B34" s="7"/>
      <c r="F34" s="88"/>
      <c r="G34" s="88"/>
      <c r="L34" s="201"/>
      <c r="M34" s="201"/>
      <c r="N34" s="201"/>
      <c r="O34" s="201"/>
      <c r="P34" s="201"/>
      <c r="Q34" s="201"/>
    </row>
    <row r="35" spans="1:17">
      <c r="A35" s="261"/>
      <c r="B35" s="7"/>
      <c r="F35" s="88"/>
      <c r="G35" s="88"/>
      <c r="L35" s="201"/>
      <c r="M35" s="201"/>
      <c r="N35" s="201"/>
      <c r="O35" s="201"/>
      <c r="P35" s="201"/>
      <c r="Q35" s="201"/>
    </row>
    <row r="36" spans="1:17">
      <c r="A36" s="261"/>
      <c r="B36" s="7"/>
      <c r="F36" s="88"/>
      <c r="G36" s="88"/>
      <c r="L36" s="201"/>
      <c r="M36" s="201"/>
      <c r="N36" s="201"/>
      <c r="O36" s="201"/>
      <c r="P36" s="201"/>
      <c r="Q36" s="201"/>
    </row>
    <row r="37" spans="1:17">
      <c r="A37" s="261"/>
      <c r="B37" s="7"/>
      <c r="F37" s="88"/>
      <c r="G37" s="88"/>
      <c r="H37" s="201"/>
      <c r="I37" s="201"/>
      <c r="J37" s="201"/>
      <c r="K37" s="201"/>
      <c r="L37" s="201"/>
      <c r="M37" s="201"/>
      <c r="N37" s="201"/>
      <c r="O37" s="201"/>
      <c r="P37" s="201"/>
      <c r="Q37" s="201"/>
    </row>
    <row r="38" spans="1:17">
      <c r="A38" s="261"/>
      <c r="B38" s="7"/>
      <c r="F38" s="88"/>
      <c r="G38" s="88"/>
      <c r="H38" s="201"/>
      <c r="I38" s="201"/>
      <c r="J38" s="201"/>
      <c r="K38" s="201"/>
      <c r="L38" s="201"/>
      <c r="M38" s="201"/>
      <c r="N38" s="201"/>
      <c r="O38" s="201"/>
      <c r="P38" s="201"/>
      <c r="Q38" s="201"/>
    </row>
    <row r="39" spans="1:17">
      <c r="A39" s="261"/>
      <c r="B39" s="7"/>
      <c r="F39" s="88"/>
      <c r="G39" s="88"/>
      <c r="H39" s="201"/>
      <c r="I39" s="201"/>
      <c r="J39" s="201"/>
      <c r="K39" s="201"/>
      <c r="P39" s="201"/>
      <c r="Q39" s="201"/>
    </row>
    <row r="40" spans="1:17">
      <c r="C40" s="261"/>
      <c r="L40" s="231"/>
      <c r="M40" s="231"/>
      <c r="N40" s="231"/>
      <c r="O40" s="231"/>
    </row>
    <row r="41" spans="1:17">
      <c r="C41" s="261"/>
      <c r="D41" s="231"/>
      <c r="E41" s="231"/>
      <c r="F41" s="87"/>
      <c r="G41" s="231"/>
      <c r="H41" s="231"/>
      <c r="I41" s="87"/>
      <c r="J41" s="87"/>
      <c r="K41" s="87"/>
      <c r="P41" s="231"/>
      <c r="Q41" s="231"/>
    </row>
    <row r="42" spans="1:17">
      <c r="C42" s="261"/>
    </row>
    <row r="43" spans="1:17">
      <c r="C43" s="261"/>
      <c r="L43" s="262"/>
      <c r="M43" s="262"/>
      <c r="N43" s="262"/>
      <c r="O43" s="262"/>
    </row>
    <row r="44" spans="1:17">
      <c r="C44" s="261"/>
      <c r="D44" s="262"/>
      <c r="E44" s="262"/>
      <c r="F44" s="262"/>
      <c r="G44" s="262"/>
      <c r="H44" s="262"/>
      <c r="I44" s="262"/>
      <c r="J44" s="262"/>
      <c r="K44" s="262"/>
      <c r="P44" s="262"/>
      <c r="Q44" s="262"/>
    </row>
    <row r="45" spans="1:17">
      <c r="C45" s="261"/>
    </row>
    <row r="46" spans="1:17">
      <c r="C46" s="261"/>
    </row>
    <row r="47" spans="1:17">
      <c r="C47" s="261"/>
      <c r="E47" s="262"/>
    </row>
    <row r="48" spans="1:17">
      <c r="C48" s="261"/>
    </row>
    <row r="49" spans="3:3">
      <c r="C49" s="261"/>
    </row>
    <row r="50" spans="3:3">
      <c r="C50" s="261"/>
    </row>
    <row r="51" spans="3:3">
      <c r="C51" s="261"/>
    </row>
    <row r="52" spans="3:3">
      <c r="C52" s="261"/>
    </row>
    <row r="53" spans="3:3">
      <c r="C53" s="261"/>
    </row>
    <row r="54" spans="3:3">
      <c r="C54" s="261"/>
    </row>
    <row r="55" spans="3:3">
      <c r="C55" s="261"/>
    </row>
    <row r="56" spans="3:3">
      <c r="C56" s="261"/>
    </row>
    <row r="57" spans="3:3">
      <c r="C57" s="261"/>
    </row>
    <row r="58" spans="3:3">
      <c r="C58" s="261"/>
    </row>
    <row r="59" spans="3:3">
      <c r="C59" s="261"/>
    </row>
    <row r="60" spans="3:3">
      <c r="C60" s="261"/>
    </row>
    <row r="61" spans="3:3">
      <c r="C61" s="261"/>
    </row>
    <row r="62" spans="3:3">
      <c r="C62" s="261"/>
    </row>
    <row r="63" spans="3:3">
      <c r="C63" s="261"/>
    </row>
    <row r="64" spans="3:3">
      <c r="C64" s="261"/>
    </row>
    <row r="65" spans="3:3">
      <c r="C65" s="261"/>
    </row>
    <row r="66" spans="3:3">
      <c r="C66" s="261"/>
    </row>
    <row r="67" spans="3:3">
      <c r="C67" s="261"/>
    </row>
    <row r="68" spans="3:3">
      <c r="C68" s="261"/>
    </row>
    <row r="69" spans="3:3">
      <c r="C69" s="261"/>
    </row>
    <row r="70" spans="3:3">
      <c r="C70" s="261"/>
    </row>
    <row r="71" spans="3:3">
      <c r="C71" s="261"/>
    </row>
    <row r="72" spans="3:3">
      <c r="C72" s="261"/>
    </row>
    <row r="73" spans="3:3">
      <c r="C73" s="261"/>
    </row>
    <row r="74" spans="3:3">
      <c r="C74" s="261"/>
    </row>
    <row r="75" spans="3:3">
      <c r="C75" s="261"/>
    </row>
    <row r="76" spans="3:3">
      <c r="C76" s="261"/>
    </row>
    <row r="77" spans="3:3">
      <c r="C77" s="261"/>
    </row>
    <row r="78" spans="3:3">
      <c r="C78" s="261"/>
    </row>
    <row r="79" spans="3:3">
      <c r="C79" s="261"/>
    </row>
    <row r="80" spans="3:3">
      <c r="C80" s="261"/>
    </row>
    <row r="81" spans="3:3">
      <c r="C81" s="261"/>
    </row>
    <row r="82" spans="3:3">
      <c r="C82" s="261"/>
    </row>
    <row r="83" spans="3:3">
      <c r="C83" s="261"/>
    </row>
    <row r="84" spans="3:3">
      <c r="C84" s="261"/>
    </row>
    <row r="85" spans="3:3">
      <c r="C85" s="261"/>
    </row>
    <row r="86" spans="3:3">
      <c r="C86" s="261"/>
    </row>
    <row r="87" spans="3:3">
      <c r="C87" s="261"/>
    </row>
    <row r="88" spans="3:3">
      <c r="C88" s="261"/>
    </row>
    <row r="89" spans="3:3">
      <c r="C89" s="261"/>
    </row>
    <row r="90" spans="3:3">
      <c r="C90" s="261"/>
    </row>
    <row r="91" spans="3:3">
      <c r="C91" s="261"/>
    </row>
    <row r="92" spans="3:3">
      <c r="C92" s="261"/>
    </row>
    <row r="93" spans="3:3">
      <c r="C93" s="261"/>
    </row>
    <row r="94" spans="3:3">
      <c r="C94" s="261"/>
    </row>
    <row r="95" spans="3:3">
      <c r="C95" s="261"/>
    </row>
    <row r="96" spans="3:3">
      <c r="C96" s="261"/>
    </row>
    <row r="97" spans="3:3">
      <c r="C97" s="261"/>
    </row>
    <row r="98" spans="3:3">
      <c r="C98" s="261"/>
    </row>
    <row r="99" spans="3:3">
      <c r="C99" s="261"/>
    </row>
    <row r="100" spans="3:3">
      <c r="C100" s="261"/>
    </row>
    <row r="101" spans="3:3">
      <c r="C101" s="261"/>
    </row>
    <row r="102" spans="3:3">
      <c r="C102" s="261"/>
    </row>
    <row r="103" spans="3:3">
      <c r="C103" s="261"/>
    </row>
    <row r="104" spans="3:3">
      <c r="C104" s="261"/>
    </row>
    <row r="105" spans="3:3">
      <c r="C105" s="261"/>
    </row>
    <row r="106" spans="3:3">
      <c r="C106" s="261"/>
    </row>
    <row r="107" spans="3:3">
      <c r="C107" s="261"/>
    </row>
    <row r="108" spans="3:3">
      <c r="C108" s="261"/>
    </row>
    <row r="109" spans="3:3">
      <c r="C109" s="261"/>
    </row>
    <row r="110" spans="3:3">
      <c r="C110" s="261"/>
    </row>
    <row r="111" spans="3:3">
      <c r="C111" s="261"/>
    </row>
    <row r="112" spans="3:3">
      <c r="C112" s="261"/>
    </row>
    <row r="113" spans="3:3">
      <c r="C113" s="261"/>
    </row>
    <row r="114" spans="3:3">
      <c r="C114" s="261"/>
    </row>
    <row r="115" spans="3:3">
      <c r="C115" s="261"/>
    </row>
    <row r="116" spans="3:3">
      <c r="C116" s="261"/>
    </row>
    <row r="117" spans="3:3">
      <c r="C117" s="261"/>
    </row>
    <row r="118" spans="3:3">
      <c r="C118" s="261"/>
    </row>
    <row r="119" spans="3:3">
      <c r="C119" s="261"/>
    </row>
    <row r="120" spans="3:3">
      <c r="C120" s="261"/>
    </row>
    <row r="121" spans="3:3">
      <c r="C121" s="261"/>
    </row>
    <row r="122" spans="3:3">
      <c r="C122" s="261"/>
    </row>
    <row r="123" spans="3:3">
      <c r="C123" s="261"/>
    </row>
    <row r="124" spans="3:3">
      <c r="C124" s="261"/>
    </row>
    <row r="125" spans="3:3">
      <c r="C125" s="261"/>
    </row>
    <row r="126" spans="3:3">
      <c r="C126" s="261"/>
    </row>
    <row r="127" spans="3:3">
      <c r="C127" s="261"/>
    </row>
    <row r="128" spans="3:3">
      <c r="C128" s="261"/>
    </row>
    <row r="129" spans="3:3">
      <c r="C129" s="261"/>
    </row>
    <row r="130" spans="3:3">
      <c r="C130" s="261"/>
    </row>
    <row r="131" spans="3:3">
      <c r="C131" s="261"/>
    </row>
    <row r="132" spans="3:3">
      <c r="C132" s="261"/>
    </row>
    <row r="133" spans="3:3">
      <c r="C133" s="261"/>
    </row>
    <row r="134" spans="3:3">
      <c r="C134" s="261"/>
    </row>
    <row r="135" spans="3:3">
      <c r="C135" s="261"/>
    </row>
    <row r="136" spans="3:3">
      <c r="C136" s="261"/>
    </row>
    <row r="137" spans="3:3">
      <c r="C137" s="261"/>
    </row>
    <row r="138" spans="3:3">
      <c r="C138" s="261"/>
    </row>
    <row r="139" spans="3:3">
      <c r="C139" s="261"/>
    </row>
    <row r="140" spans="3:3">
      <c r="C140" s="261"/>
    </row>
    <row r="141" spans="3:3">
      <c r="C141" s="261"/>
    </row>
    <row r="142" spans="3:3">
      <c r="C142" s="261"/>
    </row>
    <row r="143" spans="3:3">
      <c r="C143" s="261"/>
    </row>
    <row r="144" spans="3:3">
      <c r="C144" s="261"/>
    </row>
    <row r="145" spans="3:3">
      <c r="C145" s="261"/>
    </row>
    <row r="146" spans="3:3">
      <c r="C146" s="261"/>
    </row>
    <row r="147" spans="3:3">
      <c r="C147" s="261"/>
    </row>
    <row r="148" spans="3:3">
      <c r="C148" s="261"/>
    </row>
    <row r="149" spans="3:3">
      <c r="C149" s="261"/>
    </row>
    <row r="150" spans="3:3">
      <c r="C150" s="261"/>
    </row>
    <row r="151" spans="3:3">
      <c r="C151" s="261"/>
    </row>
    <row r="152" spans="3:3">
      <c r="C152" s="261"/>
    </row>
    <row r="153" spans="3:3">
      <c r="C153" s="261"/>
    </row>
    <row r="154" spans="3:3">
      <c r="C154" s="261"/>
    </row>
    <row r="155" spans="3:3">
      <c r="C155" s="261"/>
    </row>
    <row r="156" spans="3:3">
      <c r="C156" s="261"/>
    </row>
    <row r="157" spans="3:3">
      <c r="C157" s="261"/>
    </row>
    <row r="158" spans="3:3">
      <c r="C158" s="261"/>
    </row>
    <row r="159" spans="3:3">
      <c r="C159" s="261"/>
    </row>
    <row r="160" spans="3:3">
      <c r="C160" s="261"/>
    </row>
    <row r="161" spans="3:3">
      <c r="C161" s="261"/>
    </row>
    <row r="162" spans="3:3">
      <c r="C162" s="261"/>
    </row>
    <row r="163" spans="3:3">
      <c r="C163" s="261"/>
    </row>
    <row r="164" spans="3:3">
      <c r="C164" s="261"/>
    </row>
    <row r="165" spans="3:3">
      <c r="C165" s="261"/>
    </row>
    <row r="166" spans="3:3">
      <c r="C166" s="261"/>
    </row>
    <row r="167" spans="3:3">
      <c r="C167" s="261"/>
    </row>
    <row r="168" spans="3:3">
      <c r="C168" s="261"/>
    </row>
    <row r="169" spans="3:3">
      <c r="C169" s="261"/>
    </row>
    <row r="170" spans="3:3">
      <c r="C170" s="261"/>
    </row>
    <row r="171" spans="3:3">
      <c r="C171" s="261"/>
    </row>
    <row r="172" spans="3:3">
      <c r="C172" s="261"/>
    </row>
    <row r="173" spans="3:3">
      <c r="C173" s="261"/>
    </row>
    <row r="174" spans="3:3">
      <c r="C174" s="261"/>
    </row>
    <row r="175" spans="3:3">
      <c r="C175" s="261"/>
    </row>
    <row r="176" spans="3:3">
      <c r="C176" s="261"/>
    </row>
    <row r="177" spans="3:3">
      <c r="C177" s="261"/>
    </row>
    <row r="178" spans="3:3">
      <c r="C178" s="261"/>
    </row>
    <row r="179" spans="3:3">
      <c r="C179" s="261"/>
    </row>
    <row r="180" spans="3:3">
      <c r="C180" s="261"/>
    </row>
    <row r="181" spans="3:3">
      <c r="C181" s="261"/>
    </row>
    <row r="182" spans="3:3">
      <c r="C182" s="261"/>
    </row>
    <row r="183" spans="3:3">
      <c r="C183" s="261"/>
    </row>
    <row r="184" spans="3:3">
      <c r="C184" s="261"/>
    </row>
    <row r="185" spans="3:3">
      <c r="C185" s="261"/>
    </row>
    <row r="186" spans="3:3">
      <c r="C186" s="261"/>
    </row>
    <row r="187" spans="3:3">
      <c r="C187" s="261"/>
    </row>
    <row r="188" spans="3:3">
      <c r="C188" s="261"/>
    </row>
    <row r="189" spans="3:3">
      <c r="C189" s="261"/>
    </row>
    <row r="190" spans="3:3">
      <c r="C190" s="261"/>
    </row>
    <row r="191" spans="3:3">
      <c r="C191" s="261"/>
    </row>
    <row r="192" spans="3:3">
      <c r="C192" s="261"/>
    </row>
    <row r="193" spans="3:3">
      <c r="C193" s="261"/>
    </row>
    <row r="194" spans="3:3">
      <c r="C194" s="261"/>
    </row>
    <row r="195" spans="3:3">
      <c r="C195" s="261"/>
    </row>
    <row r="196" spans="3:3">
      <c r="C196" s="261"/>
    </row>
    <row r="197" spans="3:3">
      <c r="C197" s="261"/>
    </row>
    <row r="198" spans="3:3">
      <c r="C198" s="261"/>
    </row>
    <row r="199" spans="3:3">
      <c r="C199" s="261"/>
    </row>
    <row r="200" spans="3:3">
      <c r="C200" s="261"/>
    </row>
    <row r="201" spans="3:3">
      <c r="C201" s="261"/>
    </row>
    <row r="202" spans="3:3">
      <c r="C202" s="261"/>
    </row>
    <row r="203" spans="3:3">
      <c r="C203" s="261"/>
    </row>
    <row r="204" spans="3:3">
      <c r="C204" s="261"/>
    </row>
    <row r="205" spans="3:3">
      <c r="C205" s="261"/>
    </row>
    <row r="206" spans="3:3">
      <c r="C206" s="261"/>
    </row>
    <row r="207" spans="3:3">
      <c r="C207" s="261"/>
    </row>
    <row r="208" spans="3:3">
      <c r="C208" s="261"/>
    </row>
    <row r="209" spans="3:3">
      <c r="C209" s="261"/>
    </row>
    <row r="210" spans="3:3">
      <c r="C210" s="261"/>
    </row>
    <row r="211" spans="3:3">
      <c r="C211" s="261"/>
    </row>
    <row r="212" spans="3:3">
      <c r="C212" s="261"/>
    </row>
    <row r="213" spans="3:3">
      <c r="C213" s="261"/>
    </row>
    <row r="214" spans="3:3">
      <c r="C214" s="261"/>
    </row>
    <row r="215" spans="3:3">
      <c r="C215" s="261"/>
    </row>
    <row r="216" spans="3:3">
      <c r="C216" s="261"/>
    </row>
    <row r="217" spans="3:3">
      <c r="C217" s="261"/>
    </row>
    <row r="218" spans="3:3">
      <c r="C218" s="261"/>
    </row>
    <row r="219" spans="3:3">
      <c r="C219" s="261"/>
    </row>
    <row r="220" spans="3:3">
      <c r="C220" s="261"/>
    </row>
    <row r="221" spans="3:3">
      <c r="C221" s="261"/>
    </row>
    <row r="222" spans="3:3">
      <c r="C222" s="261"/>
    </row>
    <row r="223" spans="3:3">
      <c r="C223" s="261"/>
    </row>
    <row r="224" spans="3:3">
      <c r="C224" s="261"/>
    </row>
    <row r="225" spans="3:3">
      <c r="C225" s="261"/>
    </row>
    <row r="226" spans="3:3">
      <c r="C226" s="261"/>
    </row>
    <row r="227" spans="3:3">
      <c r="C227" s="261"/>
    </row>
    <row r="228" spans="3:3">
      <c r="C228" s="261"/>
    </row>
    <row r="229" spans="3:3">
      <c r="C229" s="261"/>
    </row>
    <row r="230" spans="3:3">
      <c r="C230" s="261"/>
    </row>
    <row r="231" spans="3:3">
      <c r="C231" s="261"/>
    </row>
    <row r="232" spans="3:3">
      <c r="C232" s="261"/>
    </row>
    <row r="233" spans="3:3">
      <c r="C233" s="261"/>
    </row>
    <row r="234" spans="3:3">
      <c r="C234" s="261"/>
    </row>
    <row r="235" spans="3:3">
      <c r="C235" s="261"/>
    </row>
    <row r="236" spans="3:3">
      <c r="C236" s="261"/>
    </row>
    <row r="237" spans="3:3">
      <c r="C237" s="261"/>
    </row>
    <row r="238" spans="3:3">
      <c r="C238" s="261"/>
    </row>
    <row r="239" spans="3:3">
      <c r="C239" s="261"/>
    </row>
    <row r="240" spans="3:3">
      <c r="C240" s="261"/>
    </row>
    <row r="241" spans="3:3">
      <c r="C241" s="261"/>
    </row>
    <row r="242" spans="3:3">
      <c r="C242" s="261"/>
    </row>
    <row r="243" spans="3:3">
      <c r="C243" s="261"/>
    </row>
    <row r="244" spans="3:3">
      <c r="C244" s="261"/>
    </row>
    <row r="245" spans="3:3">
      <c r="C245" s="261"/>
    </row>
    <row r="246" spans="3:3">
      <c r="C246" s="261"/>
    </row>
    <row r="247" spans="3:3">
      <c r="C247" s="261"/>
    </row>
    <row r="248" spans="3:3">
      <c r="C248" s="261"/>
    </row>
    <row r="249" spans="3:3">
      <c r="C249" s="261"/>
    </row>
    <row r="250" spans="3:3">
      <c r="C250" s="261"/>
    </row>
    <row r="251" spans="3:3">
      <c r="C251" s="261"/>
    </row>
    <row r="252" spans="3:3">
      <c r="C252" s="261"/>
    </row>
    <row r="253" spans="3:3">
      <c r="C253" s="261"/>
    </row>
    <row r="254" spans="3:3">
      <c r="C254" s="261"/>
    </row>
    <row r="255" spans="3:3">
      <c r="C255" s="261"/>
    </row>
    <row r="256" spans="3:3">
      <c r="C256" s="261"/>
    </row>
    <row r="257" spans="3:3">
      <c r="C257" s="261"/>
    </row>
    <row r="258" spans="3:3">
      <c r="C258" s="261"/>
    </row>
    <row r="259" spans="3:3">
      <c r="C259" s="261"/>
    </row>
    <row r="260" spans="3:3">
      <c r="C260" s="261"/>
    </row>
    <row r="261" spans="3:3">
      <c r="C261" s="261"/>
    </row>
    <row r="262" spans="3:3">
      <c r="C262" s="261"/>
    </row>
    <row r="263" spans="3:3">
      <c r="C263" s="261"/>
    </row>
    <row r="264" spans="3:3">
      <c r="C264" s="261"/>
    </row>
    <row r="265" spans="3:3">
      <c r="C265" s="261"/>
    </row>
    <row r="266" spans="3:3">
      <c r="C266" s="261"/>
    </row>
    <row r="267" spans="3:3">
      <c r="C267" s="261"/>
    </row>
    <row r="268" spans="3:3">
      <c r="C268" s="261"/>
    </row>
    <row r="269" spans="3:3">
      <c r="C269" s="261"/>
    </row>
    <row r="270" spans="3:3">
      <c r="C270" s="261"/>
    </row>
    <row r="271" spans="3:3">
      <c r="C271" s="261"/>
    </row>
    <row r="272" spans="3:3">
      <c r="C272" s="261"/>
    </row>
    <row r="273" spans="3:3">
      <c r="C273" s="261"/>
    </row>
    <row r="274" spans="3:3">
      <c r="C274" s="261"/>
    </row>
    <row r="275" spans="3:3">
      <c r="C275" s="261"/>
    </row>
    <row r="276" spans="3:3">
      <c r="C276" s="261"/>
    </row>
    <row r="277" spans="3:3">
      <c r="C277" s="261"/>
    </row>
    <row r="278" spans="3:3">
      <c r="C278" s="261"/>
    </row>
    <row r="279" spans="3:3">
      <c r="C279" s="261"/>
    </row>
    <row r="280" spans="3:3">
      <c r="C280" s="261"/>
    </row>
    <row r="281" spans="3:3">
      <c r="C281" s="261"/>
    </row>
    <row r="282" spans="3:3">
      <c r="C282" s="261"/>
    </row>
    <row r="283" spans="3:3">
      <c r="C283" s="261"/>
    </row>
    <row r="284" spans="3:3">
      <c r="C284" s="261"/>
    </row>
    <row r="285" spans="3:3">
      <c r="C285" s="261"/>
    </row>
    <row r="286" spans="3:3">
      <c r="C286" s="261"/>
    </row>
    <row r="287" spans="3:3">
      <c r="C287" s="261"/>
    </row>
    <row r="288" spans="3:3">
      <c r="C288" s="261"/>
    </row>
    <row r="289" spans="3:3">
      <c r="C289" s="261"/>
    </row>
    <row r="290" spans="3:3">
      <c r="C290" s="261"/>
    </row>
    <row r="291" spans="3:3">
      <c r="C291" s="261"/>
    </row>
    <row r="292" spans="3:3">
      <c r="C292" s="261"/>
    </row>
    <row r="293" spans="3:3">
      <c r="C293" s="261"/>
    </row>
    <row r="294" spans="3:3">
      <c r="C294" s="261"/>
    </row>
    <row r="295" spans="3:3">
      <c r="C295" s="261"/>
    </row>
    <row r="296" spans="3:3">
      <c r="C296" s="261"/>
    </row>
    <row r="297" spans="3:3">
      <c r="C297" s="261"/>
    </row>
    <row r="298" spans="3:3">
      <c r="C298" s="261"/>
    </row>
    <row r="299" spans="3:3">
      <c r="C299" s="261"/>
    </row>
    <row r="300" spans="3:3">
      <c r="C300" s="261"/>
    </row>
    <row r="301" spans="3:3">
      <c r="C301" s="261"/>
    </row>
    <row r="302" spans="3:3">
      <c r="C302" s="261"/>
    </row>
    <row r="303" spans="3:3">
      <c r="C303" s="261"/>
    </row>
    <row r="304" spans="3:3">
      <c r="C304" s="261"/>
    </row>
    <row r="305" spans="3:3">
      <c r="C305" s="261"/>
    </row>
    <row r="306" spans="3:3">
      <c r="C306" s="261"/>
    </row>
    <row r="307" spans="3:3">
      <c r="C307" s="261"/>
    </row>
    <row r="308" spans="3:3">
      <c r="C308" s="261"/>
    </row>
    <row r="309" spans="3:3">
      <c r="C309" s="261"/>
    </row>
    <row r="310" spans="3:3">
      <c r="C310" s="261"/>
    </row>
    <row r="311" spans="3:3">
      <c r="C311" s="261"/>
    </row>
    <row r="312" spans="3:3">
      <c r="C312" s="261"/>
    </row>
    <row r="313" spans="3:3">
      <c r="C313" s="261"/>
    </row>
    <row r="314" spans="3:3">
      <c r="C314" s="261"/>
    </row>
    <row r="315" spans="3:3">
      <c r="C315" s="261"/>
    </row>
    <row r="316" spans="3:3">
      <c r="C316" s="261"/>
    </row>
    <row r="317" spans="3:3">
      <c r="C317" s="261"/>
    </row>
    <row r="318" spans="3:3">
      <c r="C318" s="261"/>
    </row>
    <row r="319" spans="3:3">
      <c r="C319" s="261"/>
    </row>
    <row r="320" spans="3:3">
      <c r="C320" s="261"/>
    </row>
    <row r="321" spans="3:3">
      <c r="C321" s="261"/>
    </row>
    <row r="322" spans="3:3">
      <c r="C322" s="261"/>
    </row>
    <row r="323" spans="3:3">
      <c r="C323" s="261"/>
    </row>
    <row r="324" spans="3:3">
      <c r="C324" s="261"/>
    </row>
    <row r="325" spans="3:3">
      <c r="C325" s="261"/>
    </row>
    <row r="326" spans="3:3">
      <c r="C326" s="261"/>
    </row>
    <row r="327" spans="3:3">
      <c r="C327" s="261"/>
    </row>
    <row r="328" spans="3:3">
      <c r="C328" s="261"/>
    </row>
    <row r="329" spans="3:3">
      <c r="C329" s="261"/>
    </row>
    <row r="330" spans="3:3">
      <c r="C330" s="261"/>
    </row>
    <row r="331" spans="3:3">
      <c r="C331" s="261"/>
    </row>
    <row r="332" spans="3:3">
      <c r="C332" s="261"/>
    </row>
    <row r="333" spans="3:3">
      <c r="C333" s="261"/>
    </row>
    <row r="334" spans="3:3">
      <c r="C334" s="261"/>
    </row>
    <row r="335" spans="3:3">
      <c r="C335" s="261"/>
    </row>
    <row r="336" spans="3:3">
      <c r="C336" s="261"/>
    </row>
    <row r="337" spans="3:3">
      <c r="C337" s="261"/>
    </row>
    <row r="338" spans="3:3">
      <c r="C338" s="261"/>
    </row>
    <row r="339" spans="3:3">
      <c r="C339" s="261"/>
    </row>
    <row r="340" spans="3:3">
      <c r="C340" s="261"/>
    </row>
    <row r="341" spans="3:3">
      <c r="C341" s="261"/>
    </row>
    <row r="342" spans="3:3">
      <c r="C342" s="261"/>
    </row>
    <row r="343" spans="3:3">
      <c r="C343" s="261"/>
    </row>
    <row r="344" spans="3:3">
      <c r="C344" s="261"/>
    </row>
    <row r="345" spans="3:3">
      <c r="C345" s="261"/>
    </row>
    <row r="346" spans="3:3">
      <c r="C346" s="261"/>
    </row>
    <row r="347" spans="3:3">
      <c r="C347" s="261"/>
    </row>
    <row r="348" spans="3:3">
      <c r="C348" s="261"/>
    </row>
    <row r="349" spans="3:3">
      <c r="C349" s="261"/>
    </row>
    <row r="350" spans="3:3">
      <c r="C350" s="261"/>
    </row>
    <row r="351" spans="3:3">
      <c r="C351" s="261"/>
    </row>
    <row r="352" spans="3:3">
      <c r="C352" s="261"/>
    </row>
    <row r="353" spans="3:3">
      <c r="C353" s="261"/>
    </row>
    <row r="354" spans="3:3">
      <c r="C354" s="261"/>
    </row>
    <row r="355" spans="3:3">
      <c r="C355" s="261"/>
    </row>
    <row r="356" spans="3:3">
      <c r="C356" s="261"/>
    </row>
    <row r="357" spans="3:3">
      <c r="C357" s="261"/>
    </row>
    <row r="358" spans="3:3">
      <c r="C358" s="261"/>
    </row>
    <row r="359" spans="3:3">
      <c r="C359" s="261"/>
    </row>
    <row r="360" spans="3:3">
      <c r="C360" s="261"/>
    </row>
    <row r="361" spans="3:3">
      <c r="C361" s="261"/>
    </row>
    <row r="362" spans="3:3">
      <c r="C362" s="261"/>
    </row>
    <row r="363" spans="3:3">
      <c r="C363" s="261"/>
    </row>
    <row r="364" spans="3:3">
      <c r="C364" s="261"/>
    </row>
    <row r="365" spans="3:3">
      <c r="C365" s="261"/>
    </row>
    <row r="366" spans="3:3">
      <c r="C366" s="261"/>
    </row>
    <row r="367" spans="3:3">
      <c r="C367" s="261"/>
    </row>
    <row r="368" spans="3:3">
      <c r="C368" s="261"/>
    </row>
    <row r="369" spans="3:3">
      <c r="C369" s="261"/>
    </row>
    <row r="370" spans="3:3">
      <c r="C370" s="261"/>
    </row>
    <row r="371" spans="3:3">
      <c r="C371" s="261"/>
    </row>
    <row r="372" spans="3:3">
      <c r="C372" s="261"/>
    </row>
    <row r="373" spans="3:3">
      <c r="C373" s="261"/>
    </row>
    <row r="374" spans="3:3">
      <c r="C374" s="261"/>
    </row>
    <row r="375" spans="3:3">
      <c r="C375" s="261"/>
    </row>
    <row r="376" spans="3:3">
      <c r="C376" s="261"/>
    </row>
    <row r="377" spans="3:3">
      <c r="C377" s="261"/>
    </row>
    <row r="378" spans="3:3">
      <c r="C378" s="261"/>
    </row>
    <row r="379" spans="3:3">
      <c r="C379" s="261"/>
    </row>
    <row r="380" spans="3:3">
      <c r="C380" s="261"/>
    </row>
    <row r="381" spans="3:3">
      <c r="C381" s="261"/>
    </row>
    <row r="382" spans="3:3">
      <c r="C382" s="261"/>
    </row>
    <row r="383" spans="3:3">
      <c r="C383" s="261"/>
    </row>
    <row r="384" spans="3:3">
      <c r="C384" s="261"/>
    </row>
    <row r="385" spans="3:3">
      <c r="C385" s="261"/>
    </row>
    <row r="386" spans="3:3">
      <c r="C386" s="261"/>
    </row>
    <row r="387" spans="3:3">
      <c r="C387" s="261"/>
    </row>
    <row r="388" spans="3:3">
      <c r="C388" s="261"/>
    </row>
    <row r="389" spans="3:3">
      <c r="C389" s="261"/>
    </row>
    <row r="390" spans="3:3">
      <c r="C390" s="261"/>
    </row>
    <row r="391" spans="3:3">
      <c r="C391" s="261"/>
    </row>
    <row r="392" spans="3:3">
      <c r="C392" s="261"/>
    </row>
    <row r="393" spans="3:3">
      <c r="C393" s="261"/>
    </row>
    <row r="394" spans="3:3">
      <c r="C394" s="261"/>
    </row>
    <row r="395" spans="3:3">
      <c r="C395" s="261"/>
    </row>
    <row r="396" spans="3:3">
      <c r="C396" s="261"/>
    </row>
    <row r="397" spans="3:3">
      <c r="C397" s="261"/>
    </row>
    <row r="398" spans="3:3">
      <c r="C398" s="261"/>
    </row>
    <row r="399" spans="3:3">
      <c r="C399" s="261"/>
    </row>
    <row r="400" spans="3:3">
      <c r="C400" s="261"/>
    </row>
    <row r="401" spans="3:3">
      <c r="C401" s="261"/>
    </row>
    <row r="402" spans="3:3">
      <c r="C402" s="261"/>
    </row>
    <row r="403" spans="3:3">
      <c r="C403" s="261"/>
    </row>
    <row r="404" spans="3:3">
      <c r="C404" s="261"/>
    </row>
    <row r="405" spans="3:3">
      <c r="C405" s="261"/>
    </row>
    <row r="406" spans="3:3">
      <c r="C406" s="261"/>
    </row>
    <row r="407" spans="3:3">
      <c r="C407" s="261"/>
    </row>
    <row r="408" spans="3:3">
      <c r="C408" s="261"/>
    </row>
    <row r="409" spans="3:3">
      <c r="C409" s="261"/>
    </row>
    <row r="410" spans="3:3">
      <c r="C410" s="261"/>
    </row>
    <row r="411" spans="3:3">
      <c r="C411" s="261"/>
    </row>
    <row r="412" spans="3:3">
      <c r="C412" s="261"/>
    </row>
    <row r="413" spans="3:3">
      <c r="C413" s="261"/>
    </row>
    <row r="414" spans="3:3">
      <c r="C414" s="261"/>
    </row>
    <row r="415" spans="3:3">
      <c r="C415" s="261"/>
    </row>
    <row r="416" spans="3:3">
      <c r="C416" s="261"/>
    </row>
    <row r="417" spans="3:3">
      <c r="C417" s="261"/>
    </row>
    <row r="418" spans="3:3">
      <c r="C418" s="261"/>
    </row>
    <row r="419" spans="3:3">
      <c r="C419" s="261"/>
    </row>
    <row r="420" spans="3:3">
      <c r="C420" s="261"/>
    </row>
    <row r="421" spans="3:3">
      <c r="C421" s="261"/>
    </row>
    <row r="422" spans="3:3">
      <c r="C422" s="261"/>
    </row>
    <row r="423" spans="3:3">
      <c r="C423" s="261"/>
    </row>
    <row r="424" spans="3:3">
      <c r="C424" s="261"/>
    </row>
    <row r="425" spans="3:3">
      <c r="C425" s="261"/>
    </row>
    <row r="426" spans="3:3">
      <c r="C426" s="261"/>
    </row>
    <row r="427" spans="3:3">
      <c r="C427" s="261"/>
    </row>
    <row r="428" spans="3:3">
      <c r="C428" s="261"/>
    </row>
    <row r="429" spans="3:3">
      <c r="C429" s="261"/>
    </row>
    <row r="430" spans="3:3">
      <c r="C430" s="261"/>
    </row>
    <row r="431" spans="3:3">
      <c r="C431" s="261"/>
    </row>
    <row r="432" spans="3:3">
      <c r="C432" s="261"/>
    </row>
    <row r="433" spans="3:3">
      <c r="C433" s="261"/>
    </row>
    <row r="434" spans="3:3">
      <c r="C434" s="261"/>
    </row>
    <row r="435" spans="3:3">
      <c r="C435" s="261"/>
    </row>
    <row r="436" spans="3:3">
      <c r="C436" s="261"/>
    </row>
    <row r="437" spans="3:3">
      <c r="C437" s="261"/>
    </row>
    <row r="438" spans="3:3">
      <c r="C438" s="261"/>
    </row>
    <row r="439" spans="3:3">
      <c r="C439" s="261"/>
    </row>
    <row r="440" spans="3:3">
      <c r="C440" s="261"/>
    </row>
    <row r="441" spans="3:3">
      <c r="C441" s="261"/>
    </row>
    <row r="442" spans="3:3">
      <c r="C442" s="261"/>
    </row>
    <row r="443" spans="3:3">
      <c r="C443" s="261"/>
    </row>
    <row r="444" spans="3:3">
      <c r="C444" s="261"/>
    </row>
    <row r="445" spans="3:3">
      <c r="C445" s="261"/>
    </row>
    <row r="446" spans="3:3">
      <c r="C446" s="261"/>
    </row>
    <row r="447" spans="3:3">
      <c r="C447" s="261"/>
    </row>
    <row r="448" spans="3:3">
      <c r="C448" s="261"/>
    </row>
    <row r="449" spans="3:3">
      <c r="C449" s="261"/>
    </row>
    <row r="450" spans="3:3">
      <c r="C450" s="261"/>
    </row>
    <row r="451" spans="3:3">
      <c r="C451" s="261"/>
    </row>
    <row r="452" spans="3:3">
      <c r="C452" s="261"/>
    </row>
    <row r="453" spans="3:3">
      <c r="C453" s="261"/>
    </row>
    <row r="454" spans="3:3">
      <c r="C454" s="261"/>
    </row>
    <row r="455" spans="3:3">
      <c r="C455" s="261"/>
    </row>
    <row r="456" spans="3:3">
      <c r="C456" s="261"/>
    </row>
    <row r="457" spans="3:3">
      <c r="C457" s="261"/>
    </row>
    <row r="458" spans="3:3">
      <c r="C458" s="261"/>
    </row>
    <row r="459" spans="3:3">
      <c r="C459" s="261"/>
    </row>
    <row r="460" spans="3:3">
      <c r="C460" s="261"/>
    </row>
    <row r="461" spans="3:3">
      <c r="C461" s="261"/>
    </row>
    <row r="462" spans="3:3">
      <c r="C462" s="261"/>
    </row>
    <row r="463" spans="3:3">
      <c r="C463" s="261"/>
    </row>
    <row r="464" spans="3:3">
      <c r="C464" s="261"/>
    </row>
    <row r="465" spans="3:3">
      <c r="C465" s="261"/>
    </row>
    <row r="466" spans="3:3">
      <c r="C466" s="261"/>
    </row>
    <row r="467" spans="3:3">
      <c r="C467" s="261"/>
    </row>
    <row r="468" spans="3:3">
      <c r="C468" s="261"/>
    </row>
    <row r="469" spans="3:3">
      <c r="C469" s="261"/>
    </row>
    <row r="470" spans="3:3">
      <c r="C470" s="261"/>
    </row>
    <row r="471" spans="3:3">
      <c r="C471" s="261"/>
    </row>
    <row r="472" spans="3:3">
      <c r="C472" s="261"/>
    </row>
    <row r="473" spans="3:3">
      <c r="C473" s="261"/>
    </row>
    <row r="474" spans="3:3">
      <c r="C474" s="261"/>
    </row>
    <row r="475" spans="3:3">
      <c r="C475" s="261"/>
    </row>
    <row r="476" spans="3:3">
      <c r="C476" s="261"/>
    </row>
    <row r="477" spans="3:3">
      <c r="C477" s="261"/>
    </row>
    <row r="478" spans="3:3">
      <c r="C478" s="261"/>
    </row>
    <row r="479" spans="3:3">
      <c r="C479" s="261"/>
    </row>
    <row r="480" spans="3:3">
      <c r="C480" s="261"/>
    </row>
    <row r="481" spans="3:3">
      <c r="C481" s="261"/>
    </row>
    <row r="482" spans="3:3">
      <c r="C482" s="261"/>
    </row>
    <row r="483" spans="3:3">
      <c r="C483" s="261"/>
    </row>
    <row r="484" spans="3:3">
      <c r="C484" s="261"/>
    </row>
    <row r="485" spans="3:3">
      <c r="C485" s="261"/>
    </row>
    <row r="486" spans="3:3">
      <c r="C486" s="261"/>
    </row>
    <row r="487" spans="3:3">
      <c r="C487" s="261"/>
    </row>
    <row r="488" spans="3:3">
      <c r="C488" s="261"/>
    </row>
    <row r="489" spans="3:3">
      <c r="C489" s="261"/>
    </row>
    <row r="490" spans="3:3">
      <c r="C490" s="261"/>
    </row>
    <row r="491" spans="3:3">
      <c r="C491" s="261"/>
    </row>
    <row r="492" spans="3:3">
      <c r="C492" s="261"/>
    </row>
    <row r="493" spans="3:3">
      <c r="C493" s="261"/>
    </row>
    <row r="494" spans="3:3">
      <c r="C494" s="261"/>
    </row>
    <row r="495" spans="3:3">
      <c r="C495" s="261"/>
    </row>
    <row r="496" spans="3:3">
      <c r="C496" s="261"/>
    </row>
    <row r="497" spans="3:3">
      <c r="C497" s="261"/>
    </row>
    <row r="498" spans="3:3">
      <c r="C498" s="261"/>
    </row>
    <row r="499" spans="3:3">
      <c r="C499" s="261"/>
    </row>
    <row r="500" spans="3:3">
      <c r="C500" s="261"/>
    </row>
    <row r="501" spans="3:3">
      <c r="C501" s="261"/>
    </row>
    <row r="502" spans="3:3">
      <c r="C502" s="261"/>
    </row>
    <row r="503" spans="3:3">
      <c r="C503" s="261"/>
    </row>
    <row r="504" spans="3:3">
      <c r="C504" s="261"/>
    </row>
    <row r="505" spans="3:3">
      <c r="C505" s="261"/>
    </row>
    <row r="506" spans="3:3">
      <c r="C506" s="261"/>
    </row>
    <row r="507" spans="3:3">
      <c r="C507" s="261"/>
    </row>
    <row r="508" spans="3:3">
      <c r="C508" s="261"/>
    </row>
    <row r="509" spans="3:3">
      <c r="C509" s="261"/>
    </row>
    <row r="510" spans="3:3">
      <c r="C510" s="261"/>
    </row>
    <row r="511" spans="3:3">
      <c r="C511" s="261"/>
    </row>
    <row r="512" spans="3:3">
      <c r="C512" s="261"/>
    </row>
    <row r="513" spans="3:3">
      <c r="C513" s="261"/>
    </row>
    <row r="514" spans="3:3">
      <c r="C514" s="261"/>
    </row>
    <row r="515" spans="3:3">
      <c r="C515" s="261"/>
    </row>
    <row r="516" spans="3:3">
      <c r="C516" s="261"/>
    </row>
    <row r="517" spans="3:3">
      <c r="C517" s="261"/>
    </row>
    <row r="518" spans="3:3">
      <c r="C518" s="261"/>
    </row>
    <row r="519" spans="3:3">
      <c r="C519" s="261"/>
    </row>
    <row r="520" spans="3:3">
      <c r="C520" s="261"/>
    </row>
    <row r="521" spans="3:3">
      <c r="C521" s="261"/>
    </row>
    <row r="522" spans="3:3">
      <c r="C522" s="261"/>
    </row>
    <row r="523" spans="3:3">
      <c r="C523" s="261"/>
    </row>
    <row r="524" spans="3:3">
      <c r="C524" s="261"/>
    </row>
    <row r="525" spans="3:3">
      <c r="C525" s="261"/>
    </row>
    <row r="526" spans="3:3">
      <c r="C526" s="261"/>
    </row>
    <row r="527" spans="3:3">
      <c r="C527" s="261"/>
    </row>
    <row r="528" spans="3:3">
      <c r="C528" s="261"/>
    </row>
    <row r="529" spans="3:3">
      <c r="C529" s="261"/>
    </row>
    <row r="530" spans="3:3">
      <c r="C530" s="261"/>
    </row>
    <row r="531" spans="3:3">
      <c r="C531" s="261"/>
    </row>
    <row r="532" spans="3:3">
      <c r="C532" s="261"/>
    </row>
    <row r="533" spans="3:3">
      <c r="C533" s="261"/>
    </row>
    <row r="534" spans="3:3">
      <c r="C534" s="261"/>
    </row>
    <row r="535" spans="3:3">
      <c r="C535" s="261"/>
    </row>
    <row r="536" spans="3:3">
      <c r="C536" s="261"/>
    </row>
    <row r="537" spans="3:3">
      <c r="C537" s="261"/>
    </row>
    <row r="538" spans="3:3">
      <c r="C538" s="261"/>
    </row>
    <row r="539" spans="3:3">
      <c r="C539" s="261"/>
    </row>
    <row r="540" spans="3:3">
      <c r="C540" s="261"/>
    </row>
    <row r="541" spans="3:3">
      <c r="C541" s="261"/>
    </row>
    <row r="542" spans="3:3">
      <c r="C542" s="261"/>
    </row>
    <row r="543" spans="3:3">
      <c r="C543" s="261"/>
    </row>
    <row r="544" spans="3:3">
      <c r="C544" s="261"/>
    </row>
    <row r="545" spans="3:3">
      <c r="C545" s="261"/>
    </row>
    <row r="546" spans="3:3">
      <c r="C546" s="261"/>
    </row>
    <row r="547" spans="3:3">
      <c r="C547" s="261"/>
    </row>
    <row r="548" spans="3:3">
      <c r="C548" s="261"/>
    </row>
    <row r="549" spans="3:3">
      <c r="C549" s="261"/>
    </row>
    <row r="550" spans="3:3">
      <c r="C550" s="261"/>
    </row>
    <row r="551" spans="3:3">
      <c r="C551" s="261"/>
    </row>
    <row r="552" spans="3:3">
      <c r="C552" s="261"/>
    </row>
    <row r="553" spans="3:3">
      <c r="C553" s="261"/>
    </row>
    <row r="554" spans="3:3">
      <c r="C554" s="261"/>
    </row>
    <row r="555" spans="3:3">
      <c r="C555" s="261"/>
    </row>
    <row r="556" spans="3:3">
      <c r="C556" s="261"/>
    </row>
    <row r="557" spans="3:3">
      <c r="C557" s="261"/>
    </row>
    <row r="558" spans="3:3">
      <c r="C558" s="261"/>
    </row>
    <row r="559" spans="3:3">
      <c r="C559" s="261"/>
    </row>
    <row r="560" spans="3:3">
      <c r="C560" s="261"/>
    </row>
    <row r="561" spans="3:3">
      <c r="C561" s="261"/>
    </row>
    <row r="562" spans="3:3">
      <c r="C562" s="261"/>
    </row>
    <row r="563" spans="3:3">
      <c r="C563" s="261"/>
    </row>
    <row r="564" spans="3:3">
      <c r="C564" s="261"/>
    </row>
    <row r="565" spans="3:3">
      <c r="C565" s="261"/>
    </row>
    <row r="566" spans="3:3">
      <c r="C566" s="261"/>
    </row>
    <row r="567" spans="3:3">
      <c r="C567" s="261"/>
    </row>
    <row r="568" spans="3:3">
      <c r="C568" s="261"/>
    </row>
    <row r="569" spans="3:3">
      <c r="C569" s="261"/>
    </row>
    <row r="570" spans="3:3">
      <c r="C570" s="261"/>
    </row>
    <row r="571" spans="3:3">
      <c r="C571" s="261"/>
    </row>
    <row r="572" spans="3:3">
      <c r="C572" s="261"/>
    </row>
    <row r="573" spans="3:3">
      <c r="C573" s="261"/>
    </row>
    <row r="574" spans="3:3">
      <c r="C574" s="261"/>
    </row>
    <row r="575" spans="3:3">
      <c r="C575" s="261"/>
    </row>
    <row r="576" spans="3:3">
      <c r="C576" s="261"/>
    </row>
    <row r="577" spans="3:3">
      <c r="C577" s="261"/>
    </row>
    <row r="578" spans="3:3">
      <c r="C578" s="261"/>
    </row>
    <row r="579" spans="3:3">
      <c r="C579" s="261"/>
    </row>
    <row r="580" spans="3:3">
      <c r="C580" s="261"/>
    </row>
    <row r="581" spans="3:3">
      <c r="C581" s="261"/>
    </row>
    <row r="582" spans="3:3">
      <c r="C582" s="261"/>
    </row>
    <row r="583" spans="3:3">
      <c r="C583" s="261"/>
    </row>
    <row r="584" spans="3:3">
      <c r="C584" s="261"/>
    </row>
    <row r="585" spans="3:3">
      <c r="C585" s="261"/>
    </row>
    <row r="586" spans="3:3">
      <c r="C586" s="261"/>
    </row>
    <row r="587" spans="3:3">
      <c r="C587" s="261"/>
    </row>
    <row r="588" spans="3:3">
      <c r="C588" s="261"/>
    </row>
    <row r="589" spans="3:3">
      <c r="C589" s="261"/>
    </row>
    <row r="590" spans="3:3">
      <c r="C590" s="261"/>
    </row>
    <row r="591" spans="3:3">
      <c r="C591" s="261"/>
    </row>
    <row r="592" spans="3:3">
      <c r="C592" s="261"/>
    </row>
    <row r="593" spans="3:3">
      <c r="C593" s="261"/>
    </row>
    <row r="594" spans="3:3">
      <c r="C594" s="261"/>
    </row>
    <row r="595" spans="3:3">
      <c r="C595" s="261"/>
    </row>
    <row r="596" spans="3:3">
      <c r="C596" s="261"/>
    </row>
    <row r="597" spans="3:3">
      <c r="C597" s="261"/>
    </row>
    <row r="598" spans="3:3">
      <c r="C598" s="261"/>
    </row>
    <row r="599" spans="3:3">
      <c r="C599" s="261"/>
    </row>
    <row r="600" spans="3:3">
      <c r="C600" s="261"/>
    </row>
    <row r="601" spans="3:3">
      <c r="C601" s="261"/>
    </row>
    <row r="602" spans="3:3">
      <c r="C602" s="261"/>
    </row>
    <row r="603" spans="3:3">
      <c r="C603" s="261"/>
    </row>
    <row r="604" spans="3:3">
      <c r="C604" s="261"/>
    </row>
    <row r="605" spans="3:3">
      <c r="C605" s="261"/>
    </row>
    <row r="606" spans="3:3">
      <c r="C606" s="261"/>
    </row>
    <row r="607" spans="3:3">
      <c r="C607" s="261"/>
    </row>
    <row r="608" spans="3:3">
      <c r="C608" s="261"/>
    </row>
    <row r="609" spans="3:3">
      <c r="C609" s="261"/>
    </row>
    <row r="610" spans="3:3">
      <c r="C610" s="261"/>
    </row>
    <row r="611" spans="3:3">
      <c r="C611" s="261"/>
    </row>
    <row r="612" spans="3:3">
      <c r="C612" s="261"/>
    </row>
    <row r="613" spans="3:3">
      <c r="C613" s="261"/>
    </row>
    <row r="614" spans="3:3">
      <c r="C614" s="261"/>
    </row>
    <row r="615" spans="3:3">
      <c r="C615" s="261"/>
    </row>
    <row r="616" spans="3:3">
      <c r="C616" s="261"/>
    </row>
    <row r="617" spans="3:3">
      <c r="C617" s="261"/>
    </row>
    <row r="618" spans="3:3">
      <c r="C618" s="261"/>
    </row>
    <row r="619" spans="3:3">
      <c r="C619" s="261"/>
    </row>
    <row r="620" spans="3:3">
      <c r="C620" s="261"/>
    </row>
    <row r="621" spans="3:3">
      <c r="C621" s="261"/>
    </row>
    <row r="622" spans="3:3">
      <c r="C622" s="261"/>
    </row>
    <row r="623" spans="3:3">
      <c r="C623" s="261"/>
    </row>
    <row r="624" spans="3:3">
      <c r="C624" s="261"/>
    </row>
    <row r="625" spans="3:3">
      <c r="C625" s="261"/>
    </row>
    <row r="626" spans="3:3">
      <c r="C626" s="261"/>
    </row>
    <row r="627" spans="3:3">
      <c r="C627" s="261"/>
    </row>
    <row r="628" spans="3:3">
      <c r="C628" s="261"/>
    </row>
    <row r="629" spans="3:3">
      <c r="C629" s="261"/>
    </row>
    <row r="630" spans="3:3">
      <c r="C630" s="261"/>
    </row>
    <row r="631" spans="3:3">
      <c r="C631" s="261"/>
    </row>
    <row r="632" spans="3:3">
      <c r="C632" s="261"/>
    </row>
    <row r="633" spans="3:3">
      <c r="C633" s="261"/>
    </row>
    <row r="634" spans="3:3">
      <c r="C634" s="261"/>
    </row>
    <row r="635" spans="3:3">
      <c r="C635" s="261"/>
    </row>
    <row r="636" spans="3:3">
      <c r="C636" s="261"/>
    </row>
    <row r="637" spans="3:3">
      <c r="C637" s="261"/>
    </row>
    <row r="638" spans="3:3">
      <c r="C638" s="261"/>
    </row>
    <row r="639" spans="3:3">
      <c r="C639" s="261"/>
    </row>
    <row r="640" spans="3:3">
      <c r="C640" s="261"/>
    </row>
    <row r="641" spans="3:3">
      <c r="C641" s="261"/>
    </row>
    <row r="642" spans="3:3">
      <c r="C642" s="261"/>
    </row>
    <row r="643" spans="3:3">
      <c r="C643" s="261"/>
    </row>
    <row r="644" spans="3:3">
      <c r="C644" s="261"/>
    </row>
    <row r="645" spans="3:3">
      <c r="C645" s="261"/>
    </row>
    <row r="646" spans="3:3">
      <c r="C646" s="261"/>
    </row>
    <row r="647" spans="3:3">
      <c r="C647" s="261"/>
    </row>
    <row r="648" spans="3:3">
      <c r="C648" s="261"/>
    </row>
    <row r="649" spans="3:3">
      <c r="C649" s="261"/>
    </row>
    <row r="650" spans="3:3">
      <c r="C650" s="261"/>
    </row>
    <row r="651" spans="3:3">
      <c r="C651" s="261"/>
    </row>
    <row r="652" spans="3:3">
      <c r="C652" s="261"/>
    </row>
    <row r="653" spans="3:3">
      <c r="C653" s="261"/>
    </row>
    <row r="654" spans="3:3">
      <c r="C654" s="261"/>
    </row>
    <row r="655" spans="3:3">
      <c r="C655" s="261"/>
    </row>
    <row r="656" spans="3:3">
      <c r="C656" s="261"/>
    </row>
    <row r="657" spans="3:3">
      <c r="C657" s="261"/>
    </row>
    <row r="658" spans="3:3">
      <c r="C658" s="261"/>
    </row>
    <row r="659" spans="3:3">
      <c r="C659" s="261"/>
    </row>
    <row r="660" spans="3:3">
      <c r="C660" s="261"/>
    </row>
    <row r="661" spans="3:3">
      <c r="C661" s="261"/>
    </row>
    <row r="662" spans="3:3">
      <c r="C662" s="261"/>
    </row>
    <row r="663" spans="3:3">
      <c r="C663" s="261"/>
    </row>
    <row r="664" spans="3:3">
      <c r="C664" s="261"/>
    </row>
    <row r="665" spans="3:3">
      <c r="C665" s="261"/>
    </row>
    <row r="666" spans="3:3">
      <c r="C666" s="261"/>
    </row>
    <row r="667" spans="3:3">
      <c r="C667" s="261"/>
    </row>
    <row r="668" spans="3:3">
      <c r="C668" s="261"/>
    </row>
    <row r="669" spans="3:3">
      <c r="C669" s="261"/>
    </row>
    <row r="670" spans="3:3">
      <c r="C670" s="261"/>
    </row>
    <row r="671" spans="3:3">
      <c r="C671" s="261"/>
    </row>
    <row r="672" spans="3:3">
      <c r="C672" s="261"/>
    </row>
    <row r="673" spans="3:3">
      <c r="C673" s="261"/>
    </row>
    <row r="674" spans="3:3">
      <c r="C674" s="261"/>
    </row>
    <row r="675" spans="3:3">
      <c r="C675" s="261"/>
    </row>
    <row r="676" spans="3:3">
      <c r="C676" s="261"/>
    </row>
    <row r="677" spans="3:3">
      <c r="C677" s="261"/>
    </row>
    <row r="678" spans="3:3">
      <c r="C678" s="261"/>
    </row>
    <row r="679" spans="3:3">
      <c r="C679" s="261"/>
    </row>
    <row r="680" spans="3:3">
      <c r="C680" s="261"/>
    </row>
    <row r="681" spans="3:3">
      <c r="C681" s="261"/>
    </row>
    <row r="682" spans="3:3">
      <c r="C682" s="261"/>
    </row>
    <row r="683" spans="3:3">
      <c r="C683" s="261"/>
    </row>
    <row r="684" spans="3:3">
      <c r="C684" s="261"/>
    </row>
    <row r="685" spans="3:3">
      <c r="C685" s="261"/>
    </row>
    <row r="686" spans="3:3">
      <c r="C686" s="261"/>
    </row>
    <row r="687" spans="3:3">
      <c r="C687" s="261"/>
    </row>
    <row r="688" spans="3:3">
      <c r="C688" s="261"/>
    </row>
    <row r="689" spans="3:3">
      <c r="C689" s="261"/>
    </row>
    <row r="690" spans="3:3">
      <c r="C690" s="261"/>
    </row>
    <row r="691" spans="3:3">
      <c r="C691" s="261"/>
    </row>
    <row r="692" spans="3:3">
      <c r="C692" s="261"/>
    </row>
    <row r="693" spans="3:3">
      <c r="C693" s="261"/>
    </row>
    <row r="694" spans="3:3">
      <c r="C694" s="261"/>
    </row>
    <row r="695" spans="3:3">
      <c r="C695" s="261"/>
    </row>
    <row r="696" spans="3:3">
      <c r="C696" s="261"/>
    </row>
    <row r="697" spans="3:3">
      <c r="C697" s="261"/>
    </row>
    <row r="698" spans="3:3">
      <c r="C698" s="261"/>
    </row>
    <row r="699" spans="3:3">
      <c r="C699" s="261"/>
    </row>
    <row r="700" spans="3:3">
      <c r="C700" s="261"/>
    </row>
    <row r="701" spans="3:3">
      <c r="C701" s="261"/>
    </row>
    <row r="702" spans="3:3">
      <c r="C702" s="261"/>
    </row>
    <row r="703" spans="3:3">
      <c r="C703" s="261"/>
    </row>
    <row r="704" spans="3:3">
      <c r="C704" s="261"/>
    </row>
    <row r="705" spans="3:3">
      <c r="C705" s="261"/>
    </row>
    <row r="706" spans="3:3">
      <c r="C706" s="261"/>
    </row>
    <row r="707" spans="3:3">
      <c r="C707" s="261"/>
    </row>
    <row r="708" spans="3:3">
      <c r="C708" s="261"/>
    </row>
    <row r="709" spans="3:3">
      <c r="C709" s="261"/>
    </row>
    <row r="710" spans="3:3">
      <c r="C710" s="261"/>
    </row>
    <row r="711" spans="3:3">
      <c r="C711" s="261"/>
    </row>
    <row r="712" spans="3:3">
      <c r="C712" s="261"/>
    </row>
    <row r="713" spans="3:3">
      <c r="C713" s="261"/>
    </row>
    <row r="714" spans="3:3">
      <c r="C714" s="261"/>
    </row>
    <row r="715" spans="3:3">
      <c r="C715" s="261"/>
    </row>
    <row r="716" spans="3:3">
      <c r="C716" s="261"/>
    </row>
    <row r="717" spans="3:3">
      <c r="C717" s="261"/>
    </row>
    <row r="718" spans="3:3">
      <c r="C718" s="261"/>
    </row>
    <row r="719" spans="3:3">
      <c r="C719" s="261"/>
    </row>
    <row r="720" spans="3:3">
      <c r="C720" s="261"/>
    </row>
    <row r="721" spans="3:3">
      <c r="C721" s="261"/>
    </row>
    <row r="722" spans="3:3">
      <c r="C722" s="261"/>
    </row>
    <row r="723" spans="3:3">
      <c r="C723" s="261"/>
    </row>
    <row r="724" spans="3:3">
      <c r="C724" s="261"/>
    </row>
    <row r="725" spans="3:3">
      <c r="C725" s="261"/>
    </row>
    <row r="726" spans="3:3">
      <c r="C726" s="261"/>
    </row>
    <row r="727" spans="3:3">
      <c r="C727" s="261"/>
    </row>
    <row r="728" spans="3:3">
      <c r="C728" s="261"/>
    </row>
    <row r="729" spans="3:3">
      <c r="C729" s="261"/>
    </row>
    <row r="730" spans="3:3">
      <c r="C730" s="261"/>
    </row>
    <row r="731" spans="3:3">
      <c r="C731" s="261"/>
    </row>
    <row r="732" spans="3:3">
      <c r="C732" s="261"/>
    </row>
    <row r="733" spans="3:3">
      <c r="C733" s="261"/>
    </row>
    <row r="734" spans="3:3">
      <c r="C734" s="261"/>
    </row>
    <row r="735" spans="3:3">
      <c r="C735" s="261"/>
    </row>
    <row r="736" spans="3:3">
      <c r="C736" s="261"/>
    </row>
    <row r="737" spans="3:3">
      <c r="C737" s="261"/>
    </row>
    <row r="738" spans="3:3">
      <c r="C738" s="261"/>
    </row>
    <row r="739" spans="3:3">
      <c r="C739" s="261"/>
    </row>
    <row r="740" spans="3:3">
      <c r="C740" s="261"/>
    </row>
    <row r="741" spans="3:3">
      <c r="C741" s="261"/>
    </row>
    <row r="742" spans="3:3">
      <c r="C742" s="261"/>
    </row>
    <row r="743" spans="3:3">
      <c r="C743" s="261"/>
    </row>
    <row r="744" spans="3:3">
      <c r="C744" s="261"/>
    </row>
    <row r="745" spans="3:3">
      <c r="C745" s="261"/>
    </row>
    <row r="746" spans="3:3">
      <c r="C746" s="261"/>
    </row>
    <row r="747" spans="3:3">
      <c r="C747" s="261"/>
    </row>
    <row r="748" spans="3:3">
      <c r="C748" s="261"/>
    </row>
    <row r="749" spans="3:3">
      <c r="C749" s="261"/>
    </row>
    <row r="750" spans="3:3">
      <c r="C750" s="261"/>
    </row>
    <row r="751" spans="3:3">
      <c r="C751" s="261"/>
    </row>
    <row r="752" spans="3:3">
      <c r="C752" s="261"/>
    </row>
    <row r="753" spans="3:3">
      <c r="C753" s="261"/>
    </row>
    <row r="754" spans="3:3">
      <c r="C754" s="261"/>
    </row>
    <row r="755" spans="3:3">
      <c r="C755" s="261"/>
    </row>
    <row r="756" spans="3:3">
      <c r="C756" s="261"/>
    </row>
    <row r="757" spans="3:3">
      <c r="C757" s="261"/>
    </row>
    <row r="758" spans="3:3">
      <c r="C758" s="261"/>
    </row>
    <row r="759" spans="3:3">
      <c r="C759" s="261"/>
    </row>
    <row r="760" spans="3:3">
      <c r="C760" s="261"/>
    </row>
    <row r="761" spans="3:3">
      <c r="C761" s="261"/>
    </row>
    <row r="762" spans="3:3">
      <c r="C762" s="261"/>
    </row>
    <row r="763" spans="3:3">
      <c r="C763" s="261"/>
    </row>
    <row r="764" spans="3:3">
      <c r="C764" s="261"/>
    </row>
    <row r="765" spans="3:3">
      <c r="C765" s="261"/>
    </row>
    <row r="766" spans="3:3">
      <c r="C766" s="261"/>
    </row>
    <row r="767" spans="3:3">
      <c r="C767" s="261"/>
    </row>
    <row r="768" spans="3:3">
      <c r="C768" s="261"/>
    </row>
    <row r="769" spans="3:3">
      <c r="C769" s="261"/>
    </row>
    <row r="770" spans="3:3">
      <c r="C770" s="261"/>
    </row>
    <row r="771" spans="3:3">
      <c r="C771" s="261"/>
    </row>
    <row r="772" spans="3:3">
      <c r="C772" s="261"/>
    </row>
    <row r="773" spans="3:3">
      <c r="C773" s="261"/>
    </row>
    <row r="774" spans="3:3">
      <c r="C774" s="261"/>
    </row>
    <row r="775" spans="3:3">
      <c r="C775" s="261"/>
    </row>
    <row r="776" spans="3:3">
      <c r="C776" s="261"/>
    </row>
    <row r="777" spans="3:3">
      <c r="C777" s="261"/>
    </row>
    <row r="778" spans="3:3">
      <c r="C778" s="261"/>
    </row>
    <row r="779" spans="3:3">
      <c r="C779" s="261"/>
    </row>
    <row r="780" spans="3:3">
      <c r="C780" s="261"/>
    </row>
    <row r="781" spans="3:3">
      <c r="C781" s="261"/>
    </row>
    <row r="782" spans="3:3">
      <c r="C782" s="261"/>
    </row>
    <row r="783" spans="3:3">
      <c r="C783" s="261"/>
    </row>
    <row r="784" spans="3:3">
      <c r="C784" s="261"/>
    </row>
    <row r="785" spans="3:3">
      <c r="C785" s="261"/>
    </row>
    <row r="786" spans="3:3">
      <c r="C786" s="261"/>
    </row>
    <row r="787" spans="3:3">
      <c r="C787" s="261"/>
    </row>
    <row r="788" spans="3:3">
      <c r="C788" s="261"/>
    </row>
    <row r="789" spans="3:3">
      <c r="C789" s="261"/>
    </row>
    <row r="790" spans="3:3">
      <c r="C790" s="261"/>
    </row>
    <row r="791" spans="3:3">
      <c r="C791" s="261"/>
    </row>
    <row r="792" spans="3:3">
      <c r="C792" s="261"/>
    </row>
    <row r="793" spans="3:3">
      <c r="C793" s="261"/>
    </row>
    <row r="794" spans="3:3">
      <c r="C794" s="261"/>
    </row>
    <row r="795" spans="3:3">
      <c r="C795" s="261"/>
    </row>
    <row r="796" spans="3:3">
      <c r="C796" s="261"/>
    </row>
    <row r="797" spans="3:3">
      <c r="C797" s="261"/>
    </row>
    <row r="798" spans="3:3">
      <c r="C798" s="261"/>
    </row>
    <row r="799" spans="3:3">
      <c r="C799" s="261"/>
    </row>
    <row r="800" spans="3:3">
      <c r="C800" s="261"/>
    </row>
    <row r="801" spans="3:3">
      <c r="C801" s="261"/>
    </row>
    <row r="802" spans="3:3">
      <c r="C802" s="261"/>
    </row>
    <row r="803" spans="3:3">
      <c r="C803" s="261"/>
    </row>
    <row r="804" spans="3:3">
      <c r="C804" s="261"/>
    </row>
    <row r="805" spans="3:3">
      <c r="C805" s="261"/>
    </row>
    <row r="806" spans="3:3">
      <c r="C806" s="261"/>
    </row>
    <row r="807" spans="3:3">
      <c r="C807" s="261"/>
    </row>
    <row r="808" spans="3:3">
      <c r="C808" s="261"/>
    </row>
    <row r="809" spans="3:3">
      <c r="C809" s="261"/>
    </row>
    <row r="810" spans="3:3">
      <c r="C810" s="261"/>
    </row>
    <row r="811" spans="3:3">
      <c r="C811" s="261"/>
    </row>
    <row r="812" spans="3:3">
      <c r="C812" s="261"/>
    </row>
    <row r="813" spans="3:3">
      <c r="C813" s="261"/>
    </row>
    <row r="814" spans="3:3">
      <c r="C814" s="261"/>
    </row>
    <row r="815" spans="3:3">
      <c r="C815" s="261"/>
    </row>
    <row r="816" spans="3:3">
      <c r="C816" s="261"/>
    </row>
    <row r="817" spans="3:3">
      <c r="C817" s="261"/>
    </row>
    <row r="818" spans="3:3">
      <c r="C818" s="261"/>
    </row>
    <row r="819" spans="3:3">
      <c r="C819" s="261"/>
    </row>
    <row r="820" spans="3:3">
      <c r="C820" s="261"/>
    </row>
    <row r="821" spans="3:3">
      <c r="C821" s="261"/>
    </row>
    <row r="822" spans="3:3">
      <c r="C822" s="261"/>
    </row>
    <row r="823" spans="3:3">
      <c r="C823" s="261"/>
    </row>
    <row r="824" spans="3:3">
      <c r="C824" s="261"/>
    </row>
    <row r="825" spans="3:3">
      <c r="C825" s="261"/>
    </row>
    <row r="826" spans="3:3">
      <c r="C826" s="261"/>
    </row>
    <row r="827" spans="3:3">
      <c r="C827" s="261"/>
    </row>
    <row r="828" spans="3:3">
      <c r="C828" s="261"/>
    </row>
    <row r="829" spans="3:3">
      <c r="C829" s="261"/>
    </row>
    <row r="830" spans="3:3">
      <c r="C830" s="261"/>
    </row>
    <row r="831" spans="3:3">
      <c r="C831" s="261"/>
    </row>
    <row r="832" spans="3:3">
      <c r="C832" s="261"/>
    </row>
    <row r="833" spans="3:3">
      <c r="C833" s="261"/>
    </row>
    <row r="834" spans="3:3">
      <c r="C834" s="261"/>
    </row>
    <row r="835" spans="3:3">
      <c r="C835" s="261"/>
    </row>
    <row r="836" spans="3:3">
      <c r="C836" s="261"/>
    </row>
    <row r="837" spans="3:3">
      <c r="C837" s="261"/>
    </row>
    <row r="838" spans="3:3">
      <c r="C838" s="261"/>
    </row>
    <row r="839" spans="3:3">
      <c r="C839" s="261"/>
    </row>
    <row r="840" spans="3:3">
      <c r="C840" s="261"/>
    </row>
    <row r="841" spans="3:3">
      <c r="C841" s="261"/>
    </row>
    <row r="842" spans="3:3">
      <c r="C842" s="261"/>
    </row>
    <row r="843" spans="3:3">
      <c r="C843" s="261"/>
    </row>
    <row r="844" spans="3:3">
      <c r="C844" s="261"/>
    </row>
    <row r="845" spans="3:3">
      <c r="C845" s="261"/>
    </row>
    <row r="846" spans="3:3">
      <c r="C846" s="261"/>
    </row>
    <row r="847" spans="3:3">
      <c r="C847" s="261"/>
    </row>
    <row r="848" spans="3:3">
      <c r="C848" s="261"/>
    </row>
    <row r="849" spans="3:3">
      <c r="C849" s="261"/>
    </row>
    <row r="850" spans="3:3">
      <c r="C850" s="261"/>
    </row>
    <row r="851" spans="3:3">
      <c r="C851" s="261"/>
    </row>
    <row r="852" spans="3:3">
      <c r="C852" s="261"/>
    </row>
    <row r="853" spans="3:3">
      <c r="C853" s="261"/>
    </row>
    <row r="854" spans="3:3">
      <c r="C854" s="261"/>
    </row>
    <row r="855" spans="3:3">
      <c r="C855" s="261"/>
    </row>
    <row r="856" spans="3:3">
      <c r="C856" s="261"/>
    </row>
    <row r="857" spans="3:3">
      <c r="C857" s="261"/>
    </row>
    <row r="858" spans="3:3">
      <c r="C858" s="261"/>
    </row>
    <row r="859" spans="3:3">
      <c r="C859" s="261"/>
    </row>
    <row r="860" spans="3:3">
      <c r="C860" s="261"/>
    </row>
    <row r="861" spans="3:3">
      <c r="C861" s="261"/>
    </row>
    <row r="862" spans="3:3">
      <c r="C862" s="261"/>
    </row>
    <row r="863" spans="3:3">
      <c r="C863" s="261"/>
    </row>
    <row r="864" spans="3:3">
      <c r="C864" s="261"/>
    </row>
    <row r="865" spans="3:3">
      <c r="C865" s="261"/>
    </row>
    <row r="866" spans="3:3">
      <c r="C866" s="261"/>
    </row>
    <row r="867" spans="3:3">
      <c r="C867" s="261"/>
    </row>
    <row r="868" spans="3:3">
      <c r="C868" s="261"/>
    </row>
    <row r="869" spans="3:3">
      <c r="C869" s="261"/>
    </row>
    <row r="870" spans="3:3">
      <c r="C870" s="261"/>
    </row>
    <row r="871" spans="3:3">
      <c r="C871" s="261"/>
    </row>
    <row r="872" spans="3:3">
      <c r="C872" s="261"/>
    </row>
    <row r="873" spans="3:3">
      <c r="C873" s="261"/>
    </row>
    <row r="874" spans="3:3">
      <c r="C874" s="261"/>
    </row>
    <row r="875" spans="3:3">
      <c r="C875" s="261"/>
    </row>
    <row r="876" spans="3:3">
      <c r="C876" s="261"/>
    </row>
    <row r="877" spans="3:3">
      <c r="C877" s="261"/>
    </row>
    <row r="878" spans="3:3">
      <c r="C878" s="261"/>
    </row>
    <row r="879" spans="3:3">
      <c r="C879" s="261"/>
    </row>
    <row r="880" spans="3:3">
      <c r="C880" s="261"/>
    </row>
    <row r="881" spans="3:3">
      <c r="C881" s="261"/>
    </row>
    <row r="882" spans="3:3">
      <c r="C882" s="261"/>
    </row>
    <row r="883" spans="3:3">
      <c r="C883" s="261"/>
    </row>
    <row r="884" spans="3:3">
      <c r="C884" s="261"/>
    </row>
    <row r="885" spans="3:3">
      <c r="C885" s="261"/>
    </row>
    <row r="886" spans="3:3">
      <c r="C886" s="261"/>
    </row>
    <row r="887" spans="3:3">
      <c r="C887" s="261"/>
    </row>
    <row r="888" spans="3:3">
      <c r="C888" s="261"/>
    </row>
    <row r="889" spans="3:3">
      <c r="C889" s="261"/>
    </row>
    <row r="890" spans="3:3">
      <c r="C890" s="261"/>
    </row>
    <row r="891" spans="3:3">
      <c r="C891" s="261"/>
    </row>
    <row r="892" spans="3:3">
      <c r="C892" s="261"/>
    </row>
    <row r="893" spans="3:3">
      <c r="C893" s="261"/>
    </row>
    <row r="894" spans="3:3">
      <c r="C894" s="261"/>
    </row>
    <row r="895" spans="3:3">
      <c r="C895" s="261"/>
    </row>
    <row r="896" spans="3:3">
      <c r="C896" s="261"/>
    </row>
    <row r="897" spans="3:3">
      <c r="C897" s="261"/>
    </row>
    <row r="898" spans="3:3">
      <c r="C898" s="261"/>
    </row>
    <row r="899" spans="3:3">
      <c r="C899" s="261"/>
    </row>
    <row r="900" spans="3:3">
      <c r="C900" s="261"/>
    </row>
    <row r="901" spans="3:3">
      <c r="C901" s="261"/>
    </row>
    <row r="902" spans="3:3">
      <c r="C902" s="261"/>
    </row>
    <row r="903" spans="3:3">
      <c r="C903" s="261"/>
    </row>
    <row r="904" spans="3:3">
      <c r="C904" s="261"/>
    </row>
    <row r="905" spans="3:3">
      <c r="C905" s="261"/>
    </row>
    <row r="906" spans="3:3">
      <c r="C906" s="261"/>
    </row>
    <row r="907" spans="3:3">
      <c r="C907" s="261"/>
    </row>
    <row r="908" spans="3:3">
      <c r="C908" s="261"/>
    </row>
    <row r="909" spans="3:3">
      <c r="C909" s="261"/>
    </row>
    <row r="910" spans="3:3">
      <c r="C910" s="261"/>
    </row>
    <row r="911" spans="3:3">
      <c r="C911" s="261"/>
    </row>
    <row r="912" spans="3:3">
      <c r="C912" s="261"/>
    </row>
    <row r="913" spans="3:3">
      <c r="C913" s="261"/>
    </row>
    <row r="914" spans="3:3">
      <c r="C914" s="261"/>
    </row>
    <row r="915" spans="3:3">
      <c r="C915" s="261"/>
    </row>
    <row r="916" spans="3:3">
      <c r="C916" s="261"/>
    </row>
    <row r="917" spans="3:3">
      <c r="C917" s="261"/>
    </row>
    <row r="918" spans="3:3">
      <c r="C918" s="261"/>
    </row>
    <row r="919" spans="3:3">
      <c r="C919" s="261"/>
    </row>
    <row r="920" spans="3:3">
      <c r="C920" s="261"/>
    </row>
    <row r="921" spans="3:3">
      <c r="C921" s="261"/>
    </row>
    <row r="922" spans="3:3">
      <c r="C922" s="261"/>
    </row>
    <row r="923" spans="3:3">
      <c r="C923" s="261"/>
    </row>
    <row r="924" spans="3:3">
      <c r="C924" s="261"/>
    </row>
    <row r="925" spans="3:3">
      <c r="C925" s="261"/>
    </row>
    <row r="926" spans="3:3">
      <c r="C926" s="261"/>
    </row>
    <row r="927" spans="3:3">
      <c r="C927" s="261"/>
    </row>
    <row r="928" spans="3:3">
      <c r="C928" s="261"/>
    </row>
    <row r="929" spans="3:3">
      <c r="C929" s="261"/>
    </row>
    <row r="930" spans="3:3">
      <c r="C930" s="261"/>
    </row>
    <row r="931" spans="3:3">
      <c r="C931" s="261"/>
    </row>
    <row r="932" spans="3:3">
      <c r="C932" s="261"/>
    </row>
    <row r="933" spans="3:3">
      <c r="C933" s="261"/>
    </row>
    <row r="934" spans="3:3">
      <c r="C934" s="261"/>
    </row>
    <row r="935" spans="3:3">
      <c r="C935" s="261"/>
    </row>
    <row r="936" spans="3:3">
      <c r="C936" s="261"/>
    </row>
    <row r="937" spans="3:3">
      <c r="C937" s="261"/>
    </row>
    <row r="938" spans="3:3">
      <c r="C938" s="261"/>
    </row>
    <row r="939" spans="3:3">
      <c r="C939" s="261"/>
    </row>
    <row r="940" spans="3:3">
      <c r="C940" s="261"/>
    </row>
    <row r="941" spans="3:3">
      <c r="C941" s="261"/>
    </row>
    <row r="942" spans="3:3">
      <c r="C942" s="261"/>
    </row>
    <row r="943" spans="3:3">
      <c r="C943" s="261"/>
    </row>
    <row r="944" spans="3:3">
      <c r="C944" s="261"/>
    </row>
    <row r="945" spans="3:3">
      <c r="C945" s="261"/>
    </row>
    <row r="946" spans="3:3">
      <c r="C946" s="261"/>
    </row>
    <row r="947" spans="3:3">
      <c r="C947" s="261"/>
    </row>
    <row r="948" spans="3:3">
      <c r="C948" s="261"/>
    </row>
    <row r="949" spans="3:3">
      <c r="C949" s="261"/>
    </row>
    <row r="950" spans="3:3">
      <c r="C950" s="261"/>
    </row>
    <row r="951" spans="3:3">
      <c r="C951" s="261"/>
    </row>
    <row r="952" spans="3:3">
      <c r="C952" s="261"/>
    </row>
    <row r="953" spans="3:3">
      <c r="C953" s="261"/>
    </row>
    <row r="954" spans="3:3">
      <c r="C954" s="261"/>
    </row>
    <row r="955" spans="3:3">
      <c r="C955" s="261"/>
    </row>
    <row r="956" spans="3:3">
      <c r="C956" s="261"/>
    </row>
    <row r="957" spans="3:3">
      <c r="C957" s="261"/>
    </row>
    <row r="958" spans="3:3">
      <c r="C958" s="261"/>
    </row>
    <row r="959" spans="3:3">
      <c r="C959" s="261"/>
    </row>
    <row r="960" spans="3:3">
      <c r="C960" s="261"/>
    </row>
    <row r="961" spans="3:3">
      <c r="C961" s="261"/>
    </row>
    <row r="962" spans="3:3">
      <c r="C962" s="261"/>
    </row>
    <row r="963" spans="3:3">
      <c r="C963" s="261"/>
    </row>
    <row r="964" spans="3:3">
      <c r="C964" s="261"/>
    </row>
    <row r="965" spans="3:3">
      <c r="C965" s="261"/>
    </row>
    <row r="966" spans="3:3">
      <c r="C966" s="261"/>
    </row>
    <row r="967" spans="3:3">
      <c r="C967" s="261"/>
    </row>
    <row r="968" spans="3:3">
      <c r="C968" s="261"/>
    </row>
    <row r="969" spans="3:3">
      <c r="C969" s="261"/>
    </row>
    <row r="970" spans="3:3">
      <c r="C970" s="261"/>
    </row>
    <row r="971" spans="3:3">
      <c r="C971" s="261"/>
    </row>
    <row r="972" spans="3:3">
      <c r="C972" s="261"/>
    </row>
    <row r="973" spans="3:3">
      <c r="C973" s="261"/>
    </row>
    <row r="974" spans="3:3">
      <c r="C974" s="261"/>
    </row>
    <row r="975" spans="3:3">
      <c r="C975" s="261"/>
    </row>
    <row r="976" spans="3:3">
      <c r="C976" s="261"/>
    </row>
    <row r="977" spans="3:3">
      <c r="C977" s="261"/>
    </row>
    <row r="978" spans="3:3">
      <c r="C978" s="261"/>
    </row>
    <row r="979" spans="3:3">
      <c r="C979" s="261"/>
    </row>
    <row r="980" spans="3:3">
      <c r="C980" s="261"/>
    </row>
    <row r="981" spans="3:3">
      <c r="C981" s="261"/>
    </row>
    <row r="982" spans="3:3">
      <c r="C982" s="261"/>
    </row>
    <row r="983" spans="3:3">
      <c r="C983" s="261"/>
    </row>
    <row r="984" spans="3:3">
      <c r="C984" s="261"/>
    </row>
    <row r="985" spans="3:3">
      <c r="C985" s="261"/>
    </row>
    <row r="986" spans="3:3">
      <c r="C986" s="261"/>
    </row>
    <row r="987" spans="3:3">
      <c r="C987" s="261"/>
    </row>
    <row r="988" spans="3:3">
      <c r="C988" s="261"/>
    </row>
    <row r="989" spans="3:3">
      <c r="C989" s="261"/>
    </row>
    <row r="990" spans="3:3">
      <c r="C990" s="261"/>
    </row>
    <row r="991" spans="3:3">
      <c r="C991" s="261"/>
    </row>
    <row r="992" spans="3:3">
      <c r="C992" s="261"/>
    </row>
    <row r="993" spans="3:3">
      <c r="C993" s="261"/>
    </row>
    <row r="994" spans="3:3">
      <c r="C994" s="261"/>
    </row>
    <row r="995" spans="3:3">
      <c r="C995" s="261"/>
    </row>
    <row r="996" spans="3:3">
      <c r="C996" s="261"/>
    </row>
    <row r="997" spans="3:3">
      <c r="C997" s="261"/>
    </row>
    <row r="998" spans="3:3">
      <c r="C998" s="261"/>
    </row>
    <row r="999" spans="3:3">
      <c r="C999" s="261"/>
    </row>
    <row r="1000" spans="3:3">
      <c r="C1000" s="261"/>
    </row>
    <row r="1001" spans="3:3">
      <c r="C1001" s="261"/>
    </row>
    <row r="1002" spans="3:3">
      <c r="C1002" s="261"/>
    </row>
    <row r="1003" spans="3:3">
      <c r="C1003" s="261"/>
    </row>
    <row r="1004" spans="3:3">
      <c r="C1004" s="261"/>
    </row>
    <row r="1005" spans="3:3">
      <c r="C1005" s="261"/>
    </row>
    <row r="1006" spans="3:3">
      <c r="C1006" s="261"/>
    </row>
    <row r="1007" spans="3:3">
      <c r="C1007" s="261"/>
    </row>
    <row r="1008" spans="3:3">
      <c r="C1008" s="261"/>
    </row>
    <row r="1009" spans="3:3">
      <c r="C1009" s="261"/>
    </row>
    <row r="1010" spans="3:3">
      <c r="C1010" s="261"/>
    </row>
    <row r="1011" spans="3:3">
      <c r="C1011" s="261"/>
    </row>
    <row r="1012" spans="3:3">
      <c r="C1012" s="261"/>
    </row>
    <row r="1013" spans="3:3">
      <c r="C1013" s="261"/>
    </row>
    <row r="1014" spans="3:3">
      <c r="C1014" s="261"/>
    </row>
    <row r="1015" spans="3:3">
      <c r="C1015" s="261"/>
    </row>
    <row r="1016" spans="3:3">
      <c r="C1016" s="261"/>
    </row>
    <row r="1017" spans="3:3">
      <c r="C1017" s="261"/>
    </row>
    <row r="1018" spans="3:3">
      <c r="C1018" s="261"/>
    </row>
    <row r="1019" spans="3:3">
      <c r="C1019" s="261"/>
    </row>
    <row r="1020" spans="3:3">
      <c r="C1020" s="261"/>
    </row>
    <row r="1021" spans="3:3">
      <c r="C1021" s="261"/>
    </row>
    <row r="1022" spans="3:3">
      <c r="C1022" s="261"/>
    </row>
    <row r="1023" spans="3:3">
      <c r="C1023" s="261"/>
    </row>
    <row r="1024" spans="3:3">
      <c r="C1024" s="261"/>
    </row>
    <row r="1025" spans="3:3">
      <c r="C1025" s="261"/>
    </row>
    <row r="1026" spans="3:3">
      <c r="C1026" s="261"/>
    </row>
    <row r="1027" spans="3:3">
      <c r="C1027" s="261"/>
    </row>
    <row r="1028" spans="3:3">
      <c r="C1028" s="261"/>
    </row>
    <row r="1029" spans="3:3">
      <c r="C1029" s="261"/>
    </row>
    <row r="1030" spans="3:3">
      <c r="C1030" s="261"/>
    </row>
    <row r="1031" spans="3:3">
      <c r="C1031" s="261"/>
    </row>
    <row r="1032" spans="3:3">
      <c r="C1032" s="261"/>
    </row>
    <row r="1033" spans="3:3">
      <c r="C1033" s="261"/>
    </row>
    <row r="1034" spans="3:3">
      <c r="C1034" s="261"/>
    </row>
    <row r="1035" spans="3:3">
      <c r="C1035" s="261"/>
    </row>
    <row r="1036" spans="3:3">
      <c r="C1036" s="261"/>
    </row>
    <row r="1037" spans="3:3">
      <c r="C1037" s="261"/>
    </row>
    <row r="1038" spans="3:3">
      <c r="C1038" s="261"/>
    </row>
    <row r="1039" spans="3:3">
      <c r="C1039" s="261"/>
    </row>
    <row r="1040" spans="3:3">
      <c r="C1040" s="261"/>
    </row>
    <row r="1041" spans="3:3">
      <c r="C1041" s="261"/>
    </row>
    <row r="1042" spans="3:3">
      <c r="C1042" s="261"/>
    </row>
    <row r="1043" spans="3:3">
      <c r="C1043" s="261"/>
    </row>
    <row r="1044" spans="3:3">
      <c r="C1044" s="261"/>
    </row>
    <row r="1045" spans="3:3">
      <c r="C1045" s="261"/>
    </row>
    <row r="1046" spans="3:3">
      <c r="C1046" s="261"/>
    </row>
    <row r="1047" spans="3:3">
      <c r="C1047" s="261"/>
    </row>
    <row r="1048" spans="3:3">
      <c r="C1048" s="261"/>
    </row>
    <row r="1049" spans="3:3">
      <c r="C1049" s="261"/>
    </row>
    <row r="1050" spans="3:3">
      <c r="C1050" s="261"/>
    </row>
    <row r="1051" spans="3:3">
      <c r="C1051" s="261"/>
    </row>
    <row r="1052" spans="3:3">
      <c r="C1052" s="261"/>
    </row>
    <row r="1053" spans="3:3">
      <c r="C1053" s="261"/>
    </row>
    <row r="1054" spans="3:3">
      <c r="C1054" s="261"/>
    </row>
    <row r="1055" spans="3:3">
      <c r="C1055" s="261"/>
    </row>
    <row r="1056" spans="3:3">
      <c r="C1056" s="261"/>
    </row>
    <row r="1057" spans="3:3">
      <c r="C1057" s="261"/>
    </row>
    <row r="1058" spans="3:3">
      <c r="C1058" s="261"/>
    </row>
    <row r="1059" spans="3:3">
      <c r="C1059" s="261"/>
    </row>
    <row r="1060" spans="3:3">
      <c r="C1060" s="261"/>
    </row>
    <row r="1061" spans="3:3">
      <c r="C1061" s="261"/>
    </row>
    <row r="1062" spans="3:3">
      <c r="C1062" s="261"/>
    </row>
    <row r="1063" spans="3:3">
      <c r="C1063" s="261"/>
    </row>
    <row r="1064" spans="3:3">
      <c r="C1064" s="261"/>
    </row>
    <row r="1065" spans="3:3">
      <c r="C1065" s="261"/>
    </row>
    <row r="1066" spans="3:3">
      <c r="C1066" s="261"/>
    </row>
    <row r="1067" spans="3:3">
      <c r="C1067" s="261"/>
    </row>
    <row r="1068" spans="3:3">
      <c r="C1068" s="261"/>
    </row>
    <row r="1069" spans="3:3">
      <c r="C1069" s="261"/>
    </row>
    <row r="1070" spans="3:3">
      <c r="C1070" s="261"/>
    </row>
    <row r="1071" spans="3:3">
      <c r="C1071" s="261"/>
    </row>
    <row r="1072" spans="3:3">
      <c r="C1072" s="261"/>
    </row>
    <row r="1073" spans="3:3">
      <c r="C1073" s="261"/>
    </row>
    <row r="1074" spans="3:3">
      <c r="C1074" s="261"/>
    </row>
    <row r="1075" spans="3:3">
      <c r="C1075" s="261"/>
    </row>
    <row r="1076" spans="3:3">
      <c r="C1076" s="261"/>
    </row>
    <row r="1077" spans="3:3">
      <c r="C1077" s="261"/>
    </row>
    <row r="1078" spans="3:3">
      <c r="C1078" s="261"/>
    </row>
    <row r="1079" spans="3:3">
      <c r="C1079" s="261"/>
    </row>
    <row r="1080" spans="3:3">
      <c r="C1080" s="261"/>
    </row>
    <row r="1081" spans="3:3">
      <c r="C1081" s="261"/>
    </row>
    <row r="1082" spans="3:3">
      <c r="C1082" s="261"/>
    </row>
    <row r="1083" spans="3:3">
      <c r="C1083" s="261"/>
    </row>
    <row r="1084" spans="3:3">
      <c r="C1084" s="261"/>
    </row>
    <row r="1085" spans="3:3">
      <c r="C1085" s="261"/>
    </row>
    <row r="1086" spans="3:3">
      <c r="C1086" s="261"/>
    </row>
    <row r="1087" spans="3:3">
      <c r="C1087" s="261"/>
    </row>
    <row r="1088" spans="3:3">
      <c r="C1088" s="261"/>
    </row>
    <row r="1089" spans="3:3">
      <c r="C1089" s="261"/>
    </row>
    <row r="1090" spans="3:3">
      <c r="C1090" s="261"/>
    </row>
    <row r="1091" spans="3:3">
      <c r="C1091" s="261"/>
    </row>
    <row r="1092" spans="3:3">
      <c r="C1092" s="261"/>
    </row>
    <row r="1093" spans="3:3">
      <c r="C1093" s="261"/>
    </row>
    <row r="1094" spans="3:3">
      <c r="C1094" s="261"/>
    </row>
    <row r="1095" spans="3:3">
      <c r="C1095" s="261"/>
    </row>
    <row r="1096" spans="3:3">
      <c r="C1096" s="261"/>
    </row>
    <row r="1097" spans="3:3">
      <c r="C1097" s="261"/>
    </row>
    <row r="1098" spans="3:3">
      <c r="C1098" s="261"/>
    </row>
    <row r="1099" spans="3:3">
      <c r="C1099" s="261"/>
    </row>
    <row r="1100" spans="3:3">
      <c r="C1100" s="261"/>
    </row>
    <row r="1101" spans="3:3">
      <c r="C1101" s="261"/>
    </row>
    <row r="1102" spans="3:3">
      <c r="C1102" s="261"/>
    </row>
    <row r="1103" spans="3:3">
      <c r="C1103" s="261"/>
    </row>
    <row r="1104" spans="3:3">
      <c r="C1104" s="261"/>
    </row>
    <row r="1105" spans="3:3">
      <c r="C1105" s="261"/>
    </row>
    <row r="1106" spans="3:3">
      <c r="C1106" s="261"/>
    </row>
    <row r="1107" spans="3:3">
      <c r="C1107" s="261"/>
    </row>
    <row r="1108" spans="3:3">
      <c r="C1108" s="261"/>
    </row>
    <row r="1109" spans="3:3">
      <c r="C1109" s="261"/>
    </row>
    <row r="1110" spans="3:3">
      <c r="C1110" s="261"/>
    </row>
    <row r="1111" spans="3:3">
      <c r="C1111" s="261"/>
    </row>
    <row r="1112" spans="3:3">
      <c r="C1112" s="261"/>
    </row>
    <row r="1113" spans="3:3">
      <c r="C1113" s="261"/>
    </row>
    <row r="1114" spans="3:3">
      <c r="C1114" s="261"/>
    </row>
    <row r="1115" spans="3:3">
      <c r="C1115" s="261"/>
    </row>
    <row r="1116" spans="3:3">
      <c r="C1116" s="261"/>
    </row>
    <row r="1117" spans="3:3">
      <c r="C1117" s="261"/>
    </row>
    <row r="1118" spans="3:3">
      <c r="C1118" s="261"/>
    </row>
    <row r="1119" spans="3:3">
      <c r="C1119" s="261"/>
    </row>
    <row r="1120" spans="3:3">
      <c r="C1120" s="261"/>
    </row>
    <row r="1121" spans="3:3">
      <c r="C1121" s="261"/>
    </row>
    <row r="1122" spans="3:3">
      <c r="C1122" s="261"/>
    </row>
    <row r="1123" spans="3:3">
      <c r="C1123" s="261"/>
    </row>
    <row r="1124" spans="3:3">
      <c r="C1124" s="261"/>
    </row>
    <row r="1125" spans="3:3">
      <c r="C1125" s="261"/>
    </row>
    <row r="1126" spans="3:3">
      <c r="C1126" s="261"/>
    </row>
    <row r="1127" spans="3:3">
      <c r="C1127" s="261"/>
    </row>
    <row r="1128" spans="3:3">
      <c r="C1128" s="261"/>
    </row>
    <row r="1129" spans="3:3">
      <c r="C1129" s="261"/>
    </row>
    <row r="1130" spans="3:3">
      <c r="C1130" s="261"/>
    </row>
    <row r="1131" spans="3:3">
      <c r="C1131" s="261"/>
    </row>
    <row r="1132" spans="3:3">
      <c r="C1132" s="261"/>
    </row>
    <row r="1133" spans="3:3">
      <c r="C1133" s="261"/>
    </row>
    <row r="1134" spans="3:3">
      <c r="C1134" s="261"/>
    </row>
    <row r="1135" spans="3:3">
      <c r="C1135" s="261"/>
    </row>
    <row r="1136" spans="3:3">
      <c r="C1136" s="261"/>
    </row>
    <row r="1137" spans="3:3">
      <c r="C1137" s="261"/>
    </row>
    <row r="1138" spans="3:3">
      <c r="C1138" s="261"/>
    </row>
    <row r="1139" spans="3:3">
      <c r="C1139" s="261"/>
    </row>
    <row r="1140" spans="3:3">
      <c r="C1140" s="261"/>
    </row>
    <row r="1141" spans="3:3">
      <c r="C1141" s="261"/>
    </row>
    <row r="1142" spans="3:3">
      <c r="C1142" s="261"/>
    </row>
    <row r="1143" spans="3:3">
      <c r="C1143" s="261"/>
    </row>
    <row r="1144" spans="3:3">
      <c r="C1144" s="261"/>
    </row>
    <row r="1145" spans="3:3">
      <c r="C1145" s="261"/>
    </row>
    <row r="1146" spans="3:3">
      <c r="C1146" s="261"/>
    </row>
    <row r="1147" spans="3:3">
      <c r="C1147" s="261"/>
    </row>
    <row r="1148" spans="3:3">
      <c r="C1148" s="261"/>
    </row>
    <row r="1149" spans="3:3">
      <c r="C1149" s="261"/>
    </row>
    <row r="1150" spans="3:3">
      <c r="C1150" s="261"/>
    </row>
    <row r="1151" spans="3:3">
      <c r="C1151" s="261"/>
    </row>
    <row r="1152" spans="3:3">
      <c r="C1152" s="261"/>
    </row>
    <row r="1153" spans="3:3">
      <c r="C1153" s="261"/>
    </row>
    <row r="1154" spans="3:3">
      <c r="C1154" s="261"/>
    </row>
    <row r="1155" spans="3:3">
      <c r="C1155" s="261"/>
    </row>
    <row r="1156" spans="3:3">
      <c r="C1156" s="261"/>
    </row>
    <row r="1157" spans="3:3">
      <c r="C1157" s="261"/>
    </row>
    <row r="1158" spans="3:3">
      <c r="C1158" s="261"/>
    </row>
    <row r="1159" spans="3:3">
      <c r="C1159" s="261"/>
    </row>
    <row r="1160" spans="3:3">
      <c r="C1160" s="261"/>
    </row>
    <row r="1161" spans="3:3">
      <c r="C1161" s="261"/>
    </row>
    <row r="1162" spans="3:3">
      <c r="C1162" s="261"/>
    </row>
    <row r="1163" spans="3:3">
      <c r="C1163" s="261"/>
    </row>
    <row r="1164" spans="3:3">
      <c r="C1164" s="261"/>
    </row>
    <row r="1165" spans="3:3">
      <c r="C1165" s="261"/>
    </row>
    <row r="1166" spans="3:3">
      <c r="C1166" s="261"/>
    </row>
    <row r="1167" spans="3:3">
      <c r="C1167" s="261"/>
    </row>
    <row r="1168" spans="3:3">
      <c r="C1168" s="261"/>
    </row>
    <row r="1169" spans="3:3">
      <c r="C1169" s="261"/>
    </row>
    <row r="1170" spans="3:3">
      <c r="C1170" s="261"/>
    </row>
    <row r="1171" spans="3:3">
      <c r="C1171" s="261"/>
    </row>
    <row r="1172" spans="3:3">
      <c r="C1172" s="261"/>
    </row>
    <row r="1173" spans="3:3">
      <c r="C1173" s="261"/>
    </row>
    <row r="1174" spans="3:3">
      <c r="C1174" s="261"/>
    </row>
    <row r="1175" spans="3:3">
      <c r="C1175" s="261"/>
    </row>
    <row r="1176" spans="3:3">
      <c r="C1176" s="261"/>
    </row>
    <row r="1177" spans="3:3">
      <c r="C1177" s="261"/>
    </row>
    <row r="1178" spans="3:3">
      <c r="C1178" s="261"/>
    </row>
    <row r="1179" spans="3:3">
      <c r="C1179" s="261"/>
    </row>
    <row r="1180" spans="3:3">
      <c r="C1180" s="261"/>
    </row>
    <row r="1181" spans="3:3">
      <c r="C1181" s="261"/>
    </row>
    <row r="1182" spans="3:3">
      <c r="C1182" s="261"/>
    </row>
    <row r="1183" spans="3:3">
      <c r="C1183" s="261"/>
    </row>
    <row r="1184" spans="3:3">
      <c r="C1184" s="261"/>
    </row>
    <row r="1185" spans="3:3">
      <c r="C1185" s="261"/>
    </row>
    <row r="1186" spans="3:3">
      <c r="C1186" s="261"/>
    </row>
    <row r="1187" spans="3:3">
      <c r="C1187" s="261"/>
    </row>
    <row r="1188" spans="3:3">
      <c r="C1188" s="261"/>
    </row>
    <row r="1189" spans="3:3">
      <c r="C1189" s="261"/>
    </row>
    <row r="1190" spans="3:3">
      <c r="C1190" s="261"/>
    </row>
    <row r="1191" spans="3:3">
      <c r="C1191" s="261"/>
    </row>
    <row r="1192" spans="3:3">
      <c r="C1192" s="261"/>
    </row>
    <row r="1193" spans="3:3">
      <c r="C1193" s="261"/>
    </row>
    <row r="1194" spans="3:3">
      <c r="C1194" s="261"/>
    </row>
    <row r="1195" spans="3:3">
      <c r="C1195" s="261"/>
    </row>
    <row r="1196" spans="3:3">
      <c r="C1196" s="261"/>
    </row>
    <row r="1197" spans="3:3">
      <c r="C1197" s="261"/>
    </row>
    <row r="1198" spans="3:3">
      <c r="C1198" s="261"/>
    </row>
    <row r="1199" spans="3:3">
      <c r="C1199" s="261"/>
    </row>
    <row r="1200" spans="3:3">
      <c r="C1200" s="261"/>
    </row>
    <row r="1201" spans="3:3">
      <c r="C1201" s="261"/>
    </row>
    <row r="1202" spans="3:3">
      <c r="C1202" s="261"/>
    </row>
    <row r="1203" spans="3:3">
      <c r="C1203" s="261"/>
    </row>
    <row r="1204" spans="3:3">
      <c r="C1204" s="261"/>
    </row>
    <row r="1205" spans="3:3">
      <c r="C1205" s="261"/>
    </row>
    <row r="1206" spans="3:3">
      <c r="C1206" s="261"/>
    </row>
    <row r="1207" spans="3:3">
      <c r="C1207" s="261"/>
    </row>
    <row r="1208" spans="3:3">
      <c r="C1208" s="261"/>
    </row>
    <row r="1209" spans="3:3">
      <c r="C1209" s="261"/>
    </row>
    <row r="1210" spans="3:3">
      <c r="C1210" s="261"/>
    </row>
    <row r="1211" spans="3:3">
      <c r="C1211" s="261"/>
    </row>
    <row r="1212" spans="3:3">
      <c r="C1212" s="261"/>
    </row>
    <row r="1213" spans="3:3">
      <c r="C1213" s="261"/>
    </row>
    <row r="1214" spans="3:3">
      <c r="C1214" s="261"/>
    </row>
    <row r="1215" spans="3:3">
      <c r="C1215" s="261"/>
    </row>
    <row r="1216" spans="3:3">
      <c r="C1216" s="261"/>
    </row>
    <row r="1217" spans="3:3">
      <c r="C1217" s="261"/>
    </row>
    <row r="1218" spans="3:3">
      <c r="C1218" s="261"/>
    </row>
    <row r="1219" spans="3:3">
      <c r="C1219" s="261"/>
    </row>
    <row r="1220" spans="3:3">
      <c r="C1220" s="261"/>
    </row>
    <row r="1221" spans="3:3">
      <c r="C1221" s="261"/>
    </row>
    <row r="1222" spans="3:3">
      <c r="C1222" s="261"/>
    </row>
    <row r="1223" spans="3:3">
      <c r="C1223" s="261"/>
    </row>
    <row r="1224" spans="3:3">
      <c r="C1224" s="261"/>
    </row>
    <row r="1225" spans="3:3">
      <c r="C1225" s="261"/>
    </row>
    <row r="1226" spans="3:3">
      <c r="C1226" s="261"/>
    </row>
    <row r="1227" spans="3:3">
      <c r="C1227" s="261"/>
    </row>
    <row r="1228" spans="3:3">
      <c r="C1228" s="261"/>
    </row>
    <row r="1229" spans="3:3">
      <c r="C1229" s="261"/>
    </row>
    <row r="1230" spans="3:3">
      <c r="C1230" s="261"/>
    </row>
    <row r="1231" spans="3:3">
      <c r="C1231" s="261"/>
    </row>
    <row r="1232" spans="3:3">
      <c r="C1232" s="261"/>
    </row>
    <row r="1233" spans="3:3">
      <c r="C1233" s="261"/>
    </row>
    <row r="1234" spans="3:3">
      <c r="C1234" s="261"/>
    </row>
    <row r="1235" spans="3:3">
      <c r="C1235" s="261"/>
    </row>
    <row r="1236" spans="3:3">
      <c r="C1236" s="261"/>
    </row>
    <row r="1237" spans="3:3">
      <c r="C1237" s="261"/>
    </row>
    <row r="1238" spans="3:3">
      <c r="C1238" s="261"/>
    </row>
    <row r="1239" spans="3:3">
      <c r="C1239" s="261"/>
    </row>
    <row r="1240" spans="3:3">
      <c r="C1240" s="261"/>
    </row>
    <row r="1241" spans="3:3">
      <c r="C1241" s="261"/>
    </row>
    <row r="1242" spans="3:3">
      <c r="C1242" s="261"/>
    </row>
    <row r="1243" spans="3:3">
      <c r="C1243" s="261"/>
    </row>
    <row r="1244" spans="3:3">
      <c r="C1244" s="261"/>
    </row>
    <row r="1245" spans="3:3">
      <c r="C1245" s="261"/>
    </row>
    <row r="1246" spans="3:3">
      <c r="C1246" s="261"/>
    </row>
    <row r="1247" spans="3:3">
      <c r="C1247" s="261"/>
    </row>
    <row r="1248" spans="3:3">
      <c r="C1248" s="261"/>
    </row>
    <row r="1249" spans="3:3">
      <c r="C1249" s="261"/>
    </row>
    <row r="1250" spans="3:3">
      <c r="C1250" s="261"/>
    </row>
    <row r="1251" spans="3:3">
      <c r="C1251" s="261"/>
    </row>
    <row r="1252" spans="3:3">
      <c r="C1252" s="261"/>
    </row>
    <row r="1253" spans="3:3">
      <c r="C1253" s="261"/>
    </row>
    <row r="1254" spans="3:3">
      <c r="C1254" s="261"/>
    </row>
    <row r="1255" spans="3:3">
      <c r="C1255" s="261"/>
    </row>
    <row r="1256" spans="3:3">
      <c r="C1256" s="261"/>
    </row>
    <row r="1257" spans="3:3">
      <c r="C1257" s="261"/>
    </row>
    <row r="1258" spans="3:3">
      <c r="C1258" s="261"/>
    </row>
    <row r="1259" spans="3:3">
      <c r="C1259" s="261"/>
    </row>
    <row r="1260" spans="3:3">
      <c r="C1260" s="261"/>
    </row>
    <row r="1261" spans="3:3">
      <c r="C1261" s="261"/>
    </row>
    <row r="1262" spans="3:3">
      <c r="C1262" s="261"/>
    </row>
    <row r="1263" spans="3:3">
      <c r="C1263" s="261"/>
    </row>
    <row r="1264" spans="3:3">
      <c r="C1264" s="261"/>
    </row>
    <row r="1265" spans="3:3">
      <c r="C1265" s="261"/>
    </row>
    <row r="1266" spans="3:3">
      <c r="C1266" s="261"/>
    </row>
    <row r="1267" spans="3:3">
      <c r="C1267" s="261"/>
    </row>
    <row r="1268" spans="3:3">
      <c r="C1268" s="261"/>
    </row>
    <row r="1269" spans="3:3">
      <c r="C1269" s="261"/>
    </row>
    <row r="1270" spans="3:3">
      <c r="C1270" s="261"/>
    </row>
    <row r="1271" spans="3:3">
      <c r="C1271" s="261"/>
    </row>
    <row r="1272" spans="3:3">
      <c r="C1272" s="261"/>
    </row>
    <row r="1273" spans="3:3">
      <c r="C1273" s="261"/>
    </row>
    <row r="1274" spans="3:3">
      <c r="C1274" s="261"/>
    </row>
    <row r="1275" spans="3:3">
      <c r="C1275" s="261"/>
    </row>
    <row r="1276" spans="3:3">
      <c r="C1276" s="261"/>
    </row>
    <row r="1277" spans="3:3">
      <c r="C1277" s="261"/>
    </row>
    <row r="1278" spans="3:3">
      <c r="C1278" s="261"/>
    </row>
    <row r="1279" spans="3:3">
      <c r="C1279" s="261"/>
    </row>
    <row r="1280" spans="3:3">
      <c r="C1280" s="261"/>
    </row>
    <row r="1281" spans="3:3">
      <c r="C1281" s="261"/>
    </row>
    <row r="1282" spans="3:3">
      <c r="C1282" s="261"/>
    </row>
    <row r="1283" spans="3:3">
      <c r="C1283" s="261"/>
    </row>
    <row r="1284" spans="3:3">
      <c r="C1284" s="261"/>
    </row>
    <row r="1285" spans="3:3">
      <c r="C1285" s="261"/>
    </row>
    <row r="1286" spans="3:3">
      <c r="C1286" s="261"/>
    </row>
    <row r="1287" spans="3:3">
      <c r="C1287" s="261"/>
    </row>
    <row r="1288" spans="3:3">
      <c r="C1288" s="261"/>
    </row>
    <row r="1289" spans="3:3">
      <c r="C1289" s="261"/>
    </row>
    <row r="1290" spans="3:3">
      <c r="C1290" s="261"/>
    </row>
    <row r="1291" spans="3:3">
      <c r="C1291" s="261"/>
    </row>
    <row r="1292" spans="3:3">
      <c r="C1292" s="261"/>
    </row>
    <row r="1293" spans="3:3">
      <c r="C1293" s="261"/>
    </row>
    <row r="1294" spans="3:3">
      <c r="C1294" s="261"/>
    </row>
    <row r="1295" spans="3:3">
      <c r="C1295" s="261"/>
    </row>
    <row r="1296" spans="3:3">
      <c r="C1296" s="261"/>
    </row>
    <row r="1297" spans="3:3">
      <c r="C1297" s="261"/>
    </row>
    <row r="1298" spans="3:3">
      <c r="C1298" s="261"/>
    </row>
    <row r="1299" spans="3:3">
      <c r="C1299" s="261"/>
    </row>
    <row r="1300" spans="3:3">
      <c r="C1300" s="261"/>
    </row>
    <row r="1301" spans="3:3">
      <c r="C1301" s="261"/>
    </row>
    <row r="1302" spans="3:3">
      <c r="C1302" s="261"/>
    </row>
    <row r="1303" spans="3:3">
      <c r="C1303" s="261"/>
    </row>
    <row r="1304" spans="3:3">
      <c r="C1304" s="261"/>
    </row>
    <row r="1305" spans="3:3">
      <c r="C1305" s="261"/>
    </row>
    <row r="1306" spans="3:3">
      <c r="C1306" s="261"/>
    </row>
    <row r="1307" spans="3:3">
      <c r="C1307" s="261"/>
    </row>
    <row r="1308" spans="3:3">
      <c r="C1308" s="261"/>
    </row>
    <row r="1309" spans="3:3">
      <c r="C1309" s="261"/>
    </row>
    <row r="1310" spans="3:3">
      <c r="C1310" s="261"/>
    </row>
    <row r="1311" spans="3:3">
      <c r="C1311" s="261"/>
    </row>
    <row r="1312" spans="3:3">
      <c r="C1312" s="261"/>
    </row>
    <row r="1313" spans="3:3">
      <c r="C1313" s="261"/>
    </row>
    <row r="1314" spans="3:3">
      <c r="C1314" s="261"/>
    </row>
    <row r="1315" spans="3:3">
      <c r="C1315" s="261"/>
    </row>
    <row r="1316" spans="3:3">
      <c r="C1316" s="261"/>
    </row>
    <row r="1317" spans="3:3">
      <c r="C1317" s="261"/>
    </row>
    <row r="1318" spans="3:3">
      <c r="C1318" s="261"/>
    </row>
    <row r="1319" spans="3:3">
      <c r="C1319" s="261"/>
    </row>
    <row r="1320" spans="3:3">
      <c r="C1320" s="261"/>
    </row>
    <row r="1321" spans="3:3">
      <c r="C1321" s="261"/>
    </row>
    <row r="1322" spans="3:3">
      <c r="C1322" s="261"/>
    </row>
    <row r="1323" spans="3:3">
      <c r="C1323" s="261"/>
    </row>
    <row r="1324" spans="3:3">
      <c r="C1324" s="261"/>
    </row>
    <row r="1325" spans="3:3">
      <c r="C1325" s="261"/>
    </row>
    <row r="1326" spans="3:3">
      <c r="C1326" s="261"/>
    </row>
    <row r="1327" spans="3:3">
      <c r="C1327" s="261"/>
    </row>
    <row r="1328" spans="3:3">
      <c r="C1328" s="261"/>
    </row>
    <row r="1329" spans="3:3">
      <c r="C1329" s="261"/>
    </row>
    <row r="1330" spans="3:3">
      <c r="C1330" s="261"/>
    </row>
    <row r="1331" spans="3:3">
      <c r="C1331" s="261"/>
    </row>
    <row r="1332" spans="3:3">
      <c r="C1332" s="261"/>
    </row>
    <row r="1333" spans="3:3">
      <c r="C1333" s="261"/>
    </row>
    <row r="1334" spans="3:3">
      <c r="C1334" s="261"/>
    </row>
    <row r="1335" spans="3:3">
      <c r="C1335" s="261"/>
    </row>
    <row r="1336" spans="3:3">
      <c r="C1336" s="261"/>
    </row>
    <row r="1337" spans="3:3">
      <c r="C1337" s="261"/>
    </row>
    <row r="1338" spans="3:3">
      <c r="C1338" s="261"/>
    </row>
    <row r="1339" spans="3:3">
      <c r="C1339" s="261"/>
    </row>
    <row r="1340" spans="3:3">
      <c r="C1340" s="261"/>
    </row>
    <row r="1341" spans="3:3">
      <c r="C1341" s="261"/>
    </row>
    <row r="1342" spans="3:3">
      <c r="C1342" s="261"/>
    </row>
    <row r="1343" spans="3:3">
      <c r="C1343" s="261"/>
    </row>
    <row r="1344" spans="3:3">
      <c r="C1344" s="261"/>
    </row>
    <row r="1345" spans="3:3">
      <c r="C1345" s="261"/>
    </row>
    <row r="1346" spans="3:3">
      <c r="C1346" s="261"/>
    </row>
    <row r="1347" spans="3:3">
      <c r="C1347" s="261"/>
    </row>
    <row r="1348" spans="3:3">
      <c r="C1348" s="261"/>
    </row>
    <row r="1349" spans="3:3">
      <c r="C1349" s="261"/>
    </row>
    <row r="1350" spans="3:3">
      <c r="C1350" s="261"/>
    </row>
    <row r="1351" spans="3:3">
      <c r="C1351" s="261"/>
    </row>
    <row r="1352" spans="3:3">
      <c r="C1352" s="261"/>
    </row>
    <row r="1353" spans="3:3">
      <c r="C1353" s="261"/>
    </row>
    <row r="1354" spans="3:3">
      <c r="C1354" s="261"/>
    </row>
    <row r="1355" spans="3:3">
      <c r="C1355" s="261"/>
    </row>
    <row r="1356" spans="3:3">
      <c r="C1356" s="261"/>
    </row>
    <row r="1357" spans="3:3">
      <c r="C1357" s="261"/>
    </row>
    <row r="1358" spans="3:3">
      <c r="C1358" s="261"/>
    </row>
    <row r="1359" spans="3:3">
      <c r="C1359" s="261"/>
    </row>
    <row r="1360" spans="3:3">
      <c r="C1360" s="261"/>
    </row>
    <row r="1361" spans="3:3">
      <c r="C1361" s="261"/>
    </row>
    <row r="1362" spans="3:3">
      <c r="C1362" s="261"/>
    </row>
    <row r="1363" spans="3:3">
      <c r="C1363" s="261"/>
    </row>
    <row r="1364" spans="3:3">
      <c r="C1364" s="261"/>
    </row>
    <row r="1365" spans="3:3">
      <c r="C1365" s="261"/>
    </row>
    <row r="1366" spans="3:3">
      <c r="C1366" s="261"/>
    </row>
    <row r="1367" spans="3:3">
      <c r="C1367" s="261"/>
    </row>
    <row r="1368" spans="3:3">
      <c r="C1368" s="261"/>
    </row>
    <row r="1369" spans="3:3">
      <c r="C1369" s="261"/>
    </row>
    <row r="1370" spans="3:3">
      <c r="C1370" s="261"/>
    </row>
    <row r="1371" spans="3:3">
      <c r="C1371" s="261"/>
    </row>
    <row r="1372" spans="3:3">
      <c r="C1372" s="261"/>
    </row>
    <row r="1373" spans="3:3">
      <c r="C1373" s="261"/>
    </row>
    <row r="1374" spans="3:3">
      <c r="C1374" s="261"/>
    </row>
    <row r="1375" spans="3:3">
      <c r="C1375" s="261"/>
    </row>
    <row r="1376" spans="3:3">
      <c r="C1376" s="261"/>
    </row>
    <row r="1377" spans="3:3">
      <c r="C1377" s="261"/>
    </row>
    <row r="1378" spans="3:3">
      <c r="C1378" s="261"/>
    </row>
    <row r="1379" spans="3:3">
      <c r="C1379" s="261"/>
    </row>
    <row r="1380" spans="3:3">
      <c r="C1380" s="261"/>
    </row>
    <row r="1381" spans="3:3">
      <c r="C1381" s="261"/>
    </row>
    <row r="1382" spans="3:3">
      <c r="C1382" s="261"/>
    </row>
    <row r="1383" spans="3:3">
      <c r="C1383" s="261"/>
    </row>
    <row r="1384" spans="3:3">
      <c r="C1384" s="261"/>
    </row>
    <row r="1385" spans="3:3">
      <c r="C1385" s="261"/>
    </row>
    <row r="1386" spans="3:3">
      <c r="C1386" s="261"/>
    </row>
    <row r="1387" spans="3:3">
      <c r="C1387" s="261"/>
    </row>
    <row r="1388" spans="3:3">
      <c r="C1388" s="261"/>
    </row>
    <row r="1389" spans="3:3">
      <c r="C1389" s="261"/>
    </row>
    <row r="1390" spans="3:3">
      <c r="C1390" s="261"/>
    </row>
    <row r="1391" spans="3:3">
      <c r="C1391" s="261"/>
    </row>
    <row r="1392" spans="3:3">
      <c r="C1392" s="261"/>
    </row>
    <row r="1393" spans="3:3">
      <c r="C1393" s="261"/>
    </row>
    <row r="1394" spans="3:3">
      <c r="C1394" s="261"/>
    </row>
    <row r="1395" spans="3:3">
      <c r="C1395" s="261"/>
    </row>
    <row r="1396" spans="3:3">
      <c r="C1396" s="261"/>
    </row>
    <row r="1397" spans="3:3">
      <c r="C1397" s="261"/>
    </row>
    <row r="1398" spans="3:3">
      <c r="C1398" s="261"/>
    </row>
    <row r="1399" spans="3:3">
      <c r="C1399" s="261"/>
    </row>
    <row r="1400" spans="3:3">
      <c r="C1400" s="261"/>
    </row>
    <row r="1401" spans="3:3">
      <c r="C1401" s="261"/>
    </row>
    <row r="1402" spans="3:3">
      <c r="C1402" s="261"/>
    </row>
    <row r="1403" spans="3:3">
      <c r="C1403" s="261"/>
    </row>
    <row r="1404" spans="3:3">
      <c r="C1404" s="261"/>
    </row>
    <row r="1405" spans="3:3">
      <c r="C1405" s="261"/>
    </row>
    <row r="1406" spans="3:3">
      <c r="C1406" s="261"/>
    </row>
    <row r="1407" spans="3:3">
      <c r="C1407" s="261"/>
    </row>
    <row r="1408" spans="3:3">
      <c r="C1408" s="261"/>
    </row>
    <row r="1409" spans="3:3">
      <c r="C1409" s="261"/>
    </row>
    <row r="1410" spans="3:3">
      <c r="C1410" s="261"/>
    </row>
    <row r="1411" spans="3:3">
      <c r="C1411" s="261"/>
    </row>
    <row r="1412" spans="3:3">
      <c r="C1412" s="261"/>
    </row>
    <row r="1413" spans="3:3">
      <c r="C1413" s="261"/>
    </row>
    <row r="1414" spans="3:3">
      <c r="C1414" s="261"/>
    </row>
    <row r="1415" spans="3:3">
      <c r="C1415" s="261"/>
    </row>
    <row r="1416" spans="3:3">
      <c r="C1416" s="261"/>
    </row>
    <row r="1417" spans="3:3">
      <c r="C1417" s="261"/>
    </row>
    <row r="1418" spans="3:3">
      <c r="C1418" s="261"/>
    </row>
    <row r="1419" spans="3:3">
      <c r="C1419" s="261"/>
    </row>
    <row r="1420" spans="3:3">
      <c r="C1420" s="261"/>
    </row>
    <row r="1421" spans="3:3">
      <c r="C1421" s="261"/>
    </row>
    <row r="1422" spans="3:3">
      <c r="C1422" s="261"/>
    </row>
    <row r="1423" spans="3:3">
      <c r="C1423" s="261"/>
    </row>
    <row r="1424" spans="3:3">
      <c r="C1424" s="261"/>
    </row>
    <row r="1425" spans="3:3">
      <c r="C1425" s="261"/>
    </row>
    <row r="1426" spans="3:3">
      <c r="C1426" s="261"/>
    </row>
    <row r="1427" spans="3:3">
      <c r="C1427" s="261"/>
    </row>
    <row r="1428" spans="3:3">
      <c r="C1428" s="261"/>
    </row>
    <row r="1429" spans="3:3">
      <c r="C1429" s="261"/>
    </row>
    <row r="1430" spans="3:3">
      <c r="C1430" s="261"/>
    </row>
    <row r="1431" spans="3:3">
      <c r="C1431" s="261"/>
    </row>
    <row r="1432" spans="3:3">
      <c r="C1432" s="261"/>
    </row>
    <row r="1433" spans="3:3">
      <c r="C1433" s="261"/>
    </row>
    <row r="1434" spans="3:3">
      <c r="C1434" s="261"/>
    </row>
    <row r="1435" spans="3:3">
      <c r="C1435" s="261"/>
    </row>
    <row r="1436" spans="3:3">
      <c r="C1436" s="261"/>
    </row>
    <row r="1437" spans="3:3">
      <c r="C1437" s="261"/>
    </row>
    <row r="1438" spans="3:3">
      <c r="C1438" s="261"/>
    </row>
    <row r="1439" spans="3:3">
      <c r="C1439" s="261"/>
    </row>
    <row r="1440" spans="3:3">
      <c r="C1440" s="261"/>
    </row>
    <row r="1441" spans="3:3">
      <c r="C1441" s="261"/>
    </row>
    <row r="1442" spans="3:3">
      <c r="C1442" s="261"/>
    </row>
    <row r="1443" spans="3:3">
      <c r="C1443" s="261"/>
    </row>
    <row r="1444" spans="3:3">
      <c r="C1444" s="261"/>
    </row>
    <row r="1445" spans="3:3">
      <c r="C1445" s="261"/>
    </row>
    <row r="1446" spans="3:3">
      <c r="C1446" s="261"/>
    </row>
    <row r="1447" spans="3:3">
      <c r="C1447" s="261"/>
    </row>
    <row r="1448" spans="3:3">
      <c r="C1448" s="261"/>
    </row>
    <row r="1449" spans="3:3">
      <c r="C1449" s="261"/>
    </row>
    <row r="1450" spans="3:3">
      <c r="C1450" s="261"/>
    </row>
    <row r="1451" spans="3:3">
      <c r="C1451" s="261"/>
    </row>
    <row r="1452" spans="3:3">
      <c r="C1452" s="261"/>
    </row>
    <row r="1453" spans="3:3">
      <c r="C1453" s="261"/>
    </row>
    <row r="1454" spans="3:3">
      <c r="C1454" s="261"/>
    </row>
    <row r="1455" spans="3:3">
      <c r="C1455" s="261"/>
    </row>
    <row r="1456" spans="3:3">
      <c r="C1456" s="261"/>
    </row>
    <row r="1457" spans="3:3">
      <c r="C1457" s="261"/>
    </row>
    <row r="1458" spans="3:3">
      <c r="C1458" s="261"/>
    </row>
    <row r="1459" spans="3:3">
      <c r="C1459" s="261"/>
    </row>
    <row r="1460" spans="3:3">
      <c r="C1460" s="261"/>
    </row>
    <row r="1461" spans="3:3">
      <c r="C1461" s="261"/>
    </row>
    <row r="1462" spans="3:3">
      <c r="C1462" s="261"/>
    </row>
    <row r="1463" spans="3:3">
      <c r="C1463" s="261"/>
    </row>
    <row r="1464" spans="3:3">
      <c r="C1464" s="261"/>
    </row>
    <row r="1465" spans="3:3">
      <c r="C1465" s="261"/>
    </row>
    <row r="1466" spans="3:3">
      <c r="C1466" s="261"/>
    </row>
    <row r="1467" spans="3:3">
      <c r="C1467" s="261"/>
    </row>
    <row r="1468" spans="3:3">
      <c r="C1468" s="261"/>
    </row>
    <row r="1469" spans="3:3">
      <c r="C1469" s="261"/>
    </row>
    <row r="1470" spans="3:3">
      <c r="C1470" s="261"/>
    </row>
    <row r="1471" spans="3:3">
      <c r="C1471" s="261"/>
    </row>
    <row r="1472" spans="3:3">
      <c r="C1472" s="261"/>
    </row>
    <row r="1473" spans="3:3">
      <c r="C1473" s="261"/>
    </row>
    <row r="1474" spans="3:3">
      <c r="C1474" s="261"/>
    </row>
    <row r="1475" spans="3:3">
      <c r="C1475" s="261"/>
    </row>
    <row r="1476" spans="3:3">
      <c r="C1476" s="261"/>
    </row>
    <row r="1477" spans="3:3">
      <c r="C1477" s="261"/>
    </row>
    <row r="1478" spans="3:3">
      <c r="C1478" s="261"/>
    </row>
    <row r="1479" spans="3:3">
      <c r="C1479" s="261"/>
    </row>
    <row r="1480" spans="3:3">
      <c r="C1480" s="261"/>
    </row>
    <row r="1481" spans="3:3">
      <c r="C1481" s="261"/>
    </row>
    <row r="1482" spans="3:3">
      <c r="C1482" s="261"/>
    </row>
    <row r="1483" spans="3:3">
      <c r="C1483" s="261"/>
    </row>
    <row r="1484" spans="3:3">
      <c r="C1484" s="261"/>
    </row>
    <row r="1485" spans="3:3">
      <c r="C1485" s="261"/>
    </row>
    <row r="1486" spans="3:3">
      <c r="C1486" s="261"/>
    </row>
    <row r="1487" spans="3:3">
      <c r="C1487" s="261"/>
    </row>
    <row r="1488" spans="3:3">
      <c r="C1488" s="261"/>
    </row>
    <row r="1489" spans="3:3">
      <c r="C1489" s="261"/>
    </row>
    <row r="1490" spans="3:3">
      <c r="C1490" s="261"/>
    </row>
    <row r="1491" spans="3:3">
      <c r="C1491" s="261"/>
    </row>
    <row r="1492" spans="3:3">
      <c r="C1492" s="261"/>
    </row>
    <row r="1493" spans="3:3">
      <c r="C1493" s="261"/>
    </row>
    <row r="1494" spans="3:3">
      <c r="C1494" s="261"/>
    </row>
    <row r="1495" spans="3:3">
      <c r="C1495" s="261"/>
    </row>
    <row r="1496" spans="3:3">
      <c r="C1496" s="261"/>
    </row>
    <row r="1497" spans="3:3">
      <c r="C1497" s="261"/>
    </row>
    <row r="1498" spans="3:3">
      <c r="C1498" s="261"/>
    </row>
    <row r="1499" spans="3:3">
      <c r="C1499" s="261"/>
    </row>
    <row r="1500" spans="3:3">
      <c r="C1500" s="261"/>
    </row>
    <row r="1501" spans="3:3">
      <c r="C1501" s="261"/>
    </row>
    <row r="1502" spans="3:3">
      <c r="C1502" s="261"/>
    </row>
    <row r="1503" spans="3:3">
      <c r="C1503" s="261"/>
    </row>
    <row r="1504" spans="3:3">
      <c r="C1504" s="261"/>
    </row>
    <row r="1505" spans="3:3">
      <c r="C1505" s="261"/>
    </row>
    <row r="1506" spans="3:3">
      <c r="C1506" s="261"/>
    </row>
    <row r="1507" spans="3:3">
      <c r="C1507" s="261"/>
    </row>
    <row r="1508" spans="3:3">
      <c r="C1508" s="261"/>
    </row>
    <row r="1509" spans="3:3">
      <c r="C1509" s="261"/>
    </row>
    <row r="1510" spans="3:3">
      <c r="C1510" s="261"/>
    </row>
    <row r="1511" spans="3:3">
      <c r="C1511" s="261"/>
    </row>
    <row r="1512" spans="3:3">
      <c r="C1512" s="261"/>
    </row>
    <row r="1513" spans="3:3">
      <c r="C1513" s="261"/>
    </row>
    <row r="1514" spans="3:3">
      <c r="C1514" s="261"/>
    </row>
    <row r="1515" spans="3:3">
      <c r="C1515" s="261"/>
    </row>
    <row r="1516" spans="3:3">
      <c r="C1516" s="261"/>
    </row>
    <row r="1517" spans="3:3">
      <c r="C1517" s="261"/>
    </row>
    <row r="1518" spans="3:3">
      <c r="C1518" s="261"/>
    </row>
    <row r="1519" spans="3:3">
      <c r="C1519" s="261"/>
    </row>
    <row r="1520" spans="3:3">
      <c r="C1520" s="261"/>
    </row>
    <row r="1521" spans="3:3">
      <c r="C1521" s="261"/>
    </row>
    <row r="1522" spans="3:3">
      <c r="C1522" s="261"/>
    </row>
    <row r="1523" spans="3:3">
      <c r="C1523" s="261"/>
    </row>
    <row r="1524" spans="3:3">
      <c r="C1524" s="261"/>
    </row>
    <row r="1525" spans="3:3">
      <c r="C1525" s="261"/>
    </row>
    <row r="1526" spans="3:3">
      <c r="C1526" s="261"/>
    </row>
    <row r="1527" spans="3:3">
      <c r="C1527" s="261"/>
    </row>
    <row r="1528" spans="3:3">
      <c r="C1528" s="261"/>
    </row>
    <row r="1529" spans="3:3">
      <c r="C1529" s="261"/>
    </row>
    <row r="1530" spans="3:3">
      <c r="C1530" s="261"/>
    </row>
    <row r="1531" spans="3:3">
      <c r="C1531" s="261"/>
    </row>
    <row r="1532" spans="3:3">
      <c r="C1532" s="261"/>
    </row>
    <row r="1533" spans="3:3">
      <c r="C1533" s="261"/>
    </row>
    <row r="1534" spans="3:3">
      <c r="C1534" s="261"/>
    </row>
    <row r="1535" spans="3:3">
      <c r="C1535" s="261"/>
    </row>
    <row r="1536" spans="3:3">
      <c r="C1536" s="261"/>
    </row>
    <row r="1537" spans="3:3">
      <c r="C1537" s="261"/>
    </row>
    <row r="1538" spans="3:3">
      <c r="C1538" s="261"/>
    </row>
    <row r="1539" spans="3:3">
      <c r="C1539" s="261"/>
    </row>
    <row r="1540" spans="3:3">
      <c r="C1540" s="261"/>
    </row>
    <row r="1541" spans="3:3">
      <c r="C1541" s="261"/>
    </row>
    <row r="1542" spans="3:3">
      <c r="C1542" s="261"/>
    </row>
    <row r="1543" spans="3:3">
      <c r="C1543" s="261"/>
    </row>
    <row r="1544" spans="3:3">
      <c r="C1544" s="261"/>
    </row>
    <row r="1545" spans="3:3">
      <c r="C1545" s="261"/>
    </row>
    <row r="1546" spans="3:3">
      <c r="C1546" s="261"/>
    </row>
    <row r="1547" spans="3:3">
      <c r="C1547" s="261"/>
    </row>
    <row r="1548" spans="3:3">
      <c r="C1548" s="261"/>
    </row>
    <row r="1549" spans="3:3">
      <c r="C1549" s="261"/>
    </row>
    <row r="1550" spans="3:3">
      <c r="C1550" s="261"/>
    </row>
    <row r="1551" spans="3:3">
      <c r="C1551" s="261"/>
    </row>
    <row r="1552" spans="3:3">
      <c r="C1552" s="261"/>
    </row>
    <row r="1553" spans="3:3">
      <c r="C1553" s="261"/>
    </row>
    <row r="1554" spans="3:3">
      <c r="C1554" s="261"/>
    </row>
    <row r="1555" spans="3:3">
      <c r="C1555" s="261"/>
    </row>
    <row r="1556" spans="3:3">
      <c r="C1556" s="261"/>
    </row>
    <row r="1557" spans="3:3">
      <c r="C1557" s="261"/>
    </row>
    <row r="1558" spans="3:3">
      <c r="C1558" s="261"/>
    </row>
    <row r="1559" spans="3:3">
      <c r="C1559" s="261"/>
    </row>
    <row r="1560" spans="3:3">
      <c r="C1560" s="261"/>
    </row>
    <row r="1561" spans="3:3">
      <c r="C1561" s="261"/>
    </row>
    <row r="1562" spans="3:3">
      <c r="C1562" s="261"/>
    </row>
    <row r="1563" spans="3:3">
      <c r="C1563" s="261"/>
    </row>
    <row r="1564" spans="3:3">
      <c r="C1564" s="261"/>
    </row>
    <row r="1565" spans="3:3">
      <c r="C1565" s="261"/>
    </row>
    <row r="1566" spans="3:3">
      <c r="C1566" s="261"/>
    </row>
    <row r="1567" spans="3:3">
      <c r="C1567" s="261"/>
    </row>
    <row r="1568" spans="3:3">
      <c r="C1568" s="261"/>
    </row>
    <row r="1569" spans="3:3">
      <c r="C1569" s="261"/>
    </row>
    <row r="1570" spans="3:3">
      <c r="C1570" s="261"/>
    </row>
    <row r="1571" spans="3:3">
      <c r="C1571" s="261"/>
    </row>
    <row r="1572" spans="3:3">
      <c r="C1572" s="261"/>
    </row>
    <row r="1573" spans="3:3">
      <c r="C1573" s="261"/>
    </row>
    <row r="1574" spans="3:3">
      <c r="C1574" s="261"/>
    </row>
    <row r="1575" spans="3:3">
      <c r="C1575" s="261"/>
    </row>
    <row r="1576" spans="3:3">
      <c r="C1576" s="261"/>
    </row>
    <row r="1577" spans="3:3">
      <c r="C1577" s="261"/>
    </row>
    <row r="1578" spans="3:3">
      <c r="C1578" s="261"/>
    </row>
    <row r="1579" spans="3:3">
      <c r="C1579" s="261"/>
    </row>
    <row r="1580" spans="3:3">
      <c r="C1580" s="261"/>
    </row>
    <row r="1581" spans="3:3">
      <c r="C1581" s="261"/>
    </row>
    <row r="1582" spans="3:3">
      <c r="C1582" s="261"/>
    </row>
    <row r="1583" spans="3:3">
      <c r="C1583" s="261"/>
    </row>
    <row r="1584" spans="3:3">
      <c r="C1584" s="261"/>
    </row>
    <row r="1585" spans="3:3">
      <c r="C1585" s="261"/>
    </row>
    <row r="1586" spans="3:3">
      <c r="C1586" s="261"/>
    </row>
    <row r="1587" spans="3:3">
      <c r="C1587" s="261"/>
    </row>
    <row r="1588" spans="3:3">
      <c r="C1588" s="261"/>
    </row>
    <row r="1589" spans="3:3">
      <c r="C1589" s="261"/>
    </row>
    <row r="1590" spans="3:3">
      <c r="C1590" s="261"/>
    </row>
    <row r="1591" spans="3:3">
      <c r="C1591" s="261"/>
    </row>
    <row r="1592" spans="3:3">
      <c r="C1592" s="261"/>
    </row>
    <row r="1593" spans="3:3">
      <c r="C1593" s="261"/>
    </row>
    <row r="1594" spans="3:3">
      <c r="C1594" s="261"/>
    </row>
    <row r="1595" spans="3:3">
      <c r="C1595" s="261"/>
    </row>
    <row r="1596" spans="3:3">
      <c r="C1596" s="261"/>
    </row>
    <row r="1597" spans="3:3">
      <c r="C1597" s="261"/>
    </row>
    <row r="1598" spans="3:3">
      <c r="C1598" s="261"/>
    </row>
    <row r="1599" spans="3:3">
      <c r="C1599" s="261"/>
    </row>
    <row r="1600" spans="3:3">
      <c r="C1600" s="261"/>
    </row>
    <row r="1601" spans="3:3">
      <c r="C1601" s="261"/>
    </row>
    <row r="1602" spans="3:3">
      <c r="C1602" s="261"/>
    </row>
    <row r="1603" spans="3:3">
      <c r="C1603" s="261"/>
    </row>
    <row r="1604" spans="3:3">
      <c r="C1604" s="261"/>
    </row>
    <row r="1605" spans="3:3">
      <c r="C1605" s="261"/>
    </row>
    <row r="1606" spans="3:3">
      <c r="C1606" s="261"/>
    </row>
    <row r="1607" spans="3:3">
      <c r="C1607" s="261"/>
    </row>
    <row r="1608" spans="3:3">
      <c r="C1608" s="261"/>
    </row>
    <row r="1609" spans="3:3">
      <c r="C1609" s="261"/>
    </row>
    <row r="1610" spans="3:3">
      <c r="C1610" s="261"/>
    </row>
    <row r="1611" spans="3:3">
      <c r="C1611" s="261"/>
    </row>
    <row r="1612" spans="3:3">
      <c r="C1612" s="261"/>
    </row>
    <row r="1613" spans="3:3">
      <c r="C1613" s="261"/>
    </row>
    <row r="1614" spans="3:3">
      <c r="C1614" s="261"/>
    </row>
    <row r="1615" spans="3:3">
      <c r="C1615" s="261"/>
    </row>
    <row r="1616" spans="3:3">
      <c r="C1616" s="261"/>
    </row>
    <row r="1617" spans="3:3">
      <c r="C1617" s="261"/>
    </row>
    <row r="1618" spans="3:3">
      <c r="C1618" s="261"/>
    </row>
    <row r="1619" spans="3:3">
      <c r="C1619" s="261"/>
    </row>
    <row r="1620" spans="3:3">
      <c r="C1620" s="261"/>
    </row>
    <row r="1621" spans="3:3">
      <c r="C1621" s="261"/>
    </row>
    <row r="1622" spans="3:3">
      <c r="C1622" s="261"/>
    </row>
    <row r="1623" spans="3:3">
      <c r="C1623" s="261"/>
    </row>
    <row r="1624" spans="3:3">
      <c r="C1624" s="261"/>
    </row>
    <row r="1625" spans="3:3">
      <c r="C1625" s="261"/>
    </row>
    <row r="1626" spans="3:3">
      <c r="C1626" s="261"/>
    </row>
    <row r="1627" spans="3:3">
      <c r="C1627" s="261"/>
    </row>
    <row r="1628" spans="3:3">
      <c r="C1628" s="261"/>
    </row>
    <row r="1629" spans="3:3">
      <c r="C1629" s="261"/>
    </row>
    <row r="1630" spans="3:3">
      <c r="C1630" s="261"/>
    </row>
    <row r="1631" spans="3:3">
      <c r="C1631" s="261"/>
    </row>
    <row r="1632" spans="3:3">
      <c r="C1632" s="261"/>
    </row>
    <row r="1633" spans="3:3">
      <c r="C1633" s="261"/>
    </row>
    <row r="1634" spans="3:3">
      <c r="C1634" s="261"/>
    </row>
    <row r="1635" spans="3:3">
      <c r="C1635" s="261"/>
    </row>
    <row r="1636" spans="3:3">
      <c r="C1636" s="261"/>
    </row>
    <row r="1637" spans="3:3">
      <c r="C1637" s="261"/>
    </row>
    <row r="1638" spans="3:3">
      <c r="C1638" s="261"/>
    </row>
    <row r="1639" spans="3:3">
      <c r="C1639" s="261"/>
    </row>
    <row r="1640" spans="3:3">
      <c r="C1640" s="261"/>
    </row>
    <row r="1641" spans="3:3">
      <c r="C1641" s="261"/>
    </row>
    <row r="1642" spans="3:3">
      <c r="C1642" s="261"/>
    </row>
    <row r="1643" spans="3:3">
      <c r="C1643" s="261"/>
    </row>
    <row r="1644" spans="3:3">
      <c r="C1644" s="261"/>
    </row>
    <row r="1645" spans="3:3">
      <c r="C1645" s="261"/>
    </row>
    <row r="1646" spans="3:3">
      <c r="C1646" s="261"/>
    </row>
    <row r="1647" spans="3:3">
      <c r="C1647" s="261"/>
    </row>
    <row r="1648" spans="3:3">
      <c r="C1648" s="261"/>
    </row>
    <row r="1649" spans="3:3">
      <c r="C1649" s="261"/>
    </row>
    <row r="1650" spans="3:3">
      <c r="C1650" s="261"/>
    </row>
    <row r="1651" spans="3:3">
      <c r="C1651" s="261"/>
    </row>
    <row r="1652" spans="3:3">
      <c r="C1652" s="261"/>
    </row>
    <row r="1653" spans="3:3">
      <c r="C1653" s="261"/>
    </row>
    <row r="1654" spans="3:3">
      <c r="C1654" s="261"/>
    </row>
    <row r="1655" spans="3:3">
      <c r="C1655" s="261"/>
    </row>
    <row r="1656" spans="3:3">
      <c r="C1656" s="261"/>
    </row>
    <row r="1657" spans="3:3">
      <c r="C1657" s="261"/>
    </row>
    <row r="1658" spans="3:3">
      <c r="C1658" s="261"/>
    </row>
    <row r="1659" spans="3:3">
      <c r="C1659" s="261"/>
    </row>
    <row r="1660" spans="3:3">
      <c r="C1660" s="261"/>
    </row>
    <row r="1661" spans="3:3">
      <c r="C1661" s="261"/>
    </row>
    <row r="1662" spans="3:3">
      <c r="C1662" s="261"/>
    </row>
    <row r="1663" spans="3:3">
      <c r="C1663" s="261"/>
    </row>
    <row r="1664" spans="3:3">
      <c r="C1664" s="261"/>
    </row>
    <row r="1665" spans="3:3">
      <c r="C1665" s="261"/>
    </row>
    <row r="1666" spans="3:3">
      <c r="C1666" s="261"/>
    </row>
    <row r="1667" spans="3:3">
      <c r="C1667" s="261"/>
    </row>
    <row r="1668" spans="3:3">
      <c r="C1668" s="261"/>
    </row>
    <row r="1669" spans="3:3">
      <c r="C1669" s="261"/>
    </row>
    <row r="1670" spans="3:3">
      <c r="C1670" s="261"/>
    </row>
    <row r="1671" spans="3:3">
      <c r="C1671" s="261"/>
    </row>
    <row r="1672" spans="3:3">
      <c r="C1672" s="261"/>
    </row>
    <row r="1673" spans="3:3">
      <c r="C1673" s="261"/>
    </row>
    <row r="1674" spans="3:3">
      <c r="C1674" s="261"/>
    </row>
    <row r="1675" spans="3:3">
      <c r="C1675" s="261"/>
    </row>
    <row r="1676" spans="3:3">
      <c r="C1676" s="261"/>
    </row>
    <row r="1677" spans="3:3">
      <c r="C1677" s="261"/>
    </row>
    <row r="1678" spans="3:3">
      <c r="C1678" s="261"/>
    </row>
    <row r="1679" spans="3:3">
      <c r="C1679" s="261"/>
    </row>
    <row r="1680" spans="3:3">
      <c r="C1680" s="261"/>
    </row>
    <row r="1681" spans="3:3">
      <c r="C1681" s="261"/>
    </row>
    <row r="1682" spans="3:3">
      <c r="C1682" s="261"/>
    </row>
    <row r="1683" spans="3:3">
      <c r="C1683" s="261"/>
    </row>
    <row r="1684" spans="3:3">
      <c r="C1684" s="261"/>
    </row>
    <row r="1685" spans="3:3">
      <c r="C1685" s="261"/>
    </row>
    <row r="1686" spans="3:3">
      <c r="C1686" s="261"/>
    </row>
    <row r="1687" spans="3:3">
      <c r="C1687" s="261"/>
    </row>
    <row r="1688" spans="3:3">
      <c r="C1688" s="261"/>
    </row>
    <row r="1689" spans="3:3">
      <c r="C1689" s="261"/>
    </row>
    <row r="1690" spans="3:3">
      <c r="C1690" s="261"/>
    </row>
    <row r="1691" spans="3:3">
      <c r="C1691" s="261"/>
    </row>
    <row r="1692" spans="3:3">
      <c r="C1692" s="261"/>
    </row>
    <row r="1693" spans="3:3">
      <c r="C1693" s="261"/>
    </row>
    <row r="1694" spans="3:3">
      <c r="C1694" s="261"/>
    </row>
    <row r="1695" spans="3:3">
      <c r="C1695" s="261"/>
    </row>
    <row r="1696" spans="3:3">
      <c r="C1696" s="261"/>
    </row>
    <row r="1697" spans="3:3">
      <c r="C1697" s="261"/>
    </row>
    <row r="1698" spans="3:3">
      <c r="C1698" s="261"/>
    </row>
    <row r="1699" spans="3:3">
      <c r="C1699" s="261"/>
    </row>
    <row r="1700" spans="3:3">
      <c r="C1700" s="261"/>
    </row>
    <row r="1701" spans="3:3">
      <c r="C1701" s="261"/>
    </row>
    <row r="1702" spans="3:3">
      <c r="C1702" s="261"/>
    </row>
    <row r="1703" spans="3:3">
      <c r="C1703" s="261"/>
    </row>
    <row r="1704" spans="3:3">
      <c r="C1704" s="261"/>
    </row>
    <row r="1705" spans="3:3">
      <c r="C1705" s="261"/>
    </row>
    <row r="1706" spans="3:3">
      <c r="C1706" s="261"/>
    </row>
    <row r="1707" spans="3:3">
      <c r="C1707" s="261"/>
    </row>
    <row r="1708" spans="3:3">
      <c r="C1708" s="261"/>
    </row>
    <row r="1709" spans="3:3">
      <c r="C1709" s="261"/>
    </row>
    <row r="1710" spans="3:3">
      <c r="C1710" s="261"/>
    </row>
    <row r="1711" spans="3:3">
      <c r="C1711" s="261"/>
    </row>
    <row r="1712" spans="3:3">
      <c r="C1712" s="261"/>
    </row>
    <row r="1713" spans="3:3">
      <c r="C1713" s="261"/>
    </row>
    <row r="1714" spans="3:3">
      <c r="C1714" s="261"/>
    </row>
    <row r="1715" spans="3:3">
      <c r="C1715" s="261"/>
    </row>
    <row r="1716" spans="3:3">
      <c r="C1716" s="261"/>
    </row>
    <row r="1717" spans="3:3">
      <c r="C1717" s="261"/>
    </row>
    <row r="1718" spans="3:3">
      <c r="C1718" s="261"/>
    </row>
    <row r="1719" spans="3:3">
      <c r="C1719" s="261"/>
    </row>
    <row r="1720" spans="3:3">
      <c r="C1720" s="261"/>
    </row>
    <row r="1721" spans="3:3">
      <c r="C1721" s="261"/>
    </row>
    <row r="1722" spans="3:3">
      <c r="C1722" s="261"/>
    </row>
    <row r="1723" spans="3:3">
      <c r="C1723" s="261"/>
    </row>
    <row r="1724" spans="3:3">
      <c r="C1724" s="261"/>
    </row>
    <row r="1725" spans="3:3">
      <c r="C1725" s="261"/>
    </row>
    <row r="1726" spans="3:3">
      <c r="C1726" s="261"/>
    </row>
    <row r="1727" spans="3:3">
      <c r="C1727" s="261"/>
    </row>
    <row r="1728" spans="3:3">
      <c r="C1728" s="261"/>
    </row>
    <row r="1729" spans="3:3">
      <c r="C1729" s="261"/>
    </row>
    <row r="1730" spans="3:3">
      <c r="C1730" s="261"/>
    </row>
    <row r="1731" spans="3:3">
      <c r="C1731" s="261"/>
    </row>
    <row r="1732" spans="3:3">
      <c r="C1732" s="261"/>
    </row>
    <row r="1733" spans="3:3">
      <c r="C1733" s="261"/>
    </row>
    <row r="1734" spans="3:3">
      <c r="C1734" s="261"/>
    </row>
    <row r="1735" spans="3:3">
      <c r="C1735" s="261"/>
    </row>
    <row r="1736" spans="3:3">
      <c r="C1736" s="261"/>
    </row>
    <row r="1737" spans="3:3">
      <c r="C1737" s="261"/>
    </row>
    <row r="1738" spans="3:3">
      <c r="C1738" s="261"/>
    </row>
    <row r="1739" spans="3:3">
      <c r="C1739" s="261"/>
    </row>
    <row r="1740" spans="3:3">
      <c r="C1740" s="261"/>
    </row>
    <row r="1741" spans="3:3">
      <c r="C1741" s="261"/>
    </row>
    <row r="1742" spans="3:3">
      <c r="C1742" s="261"/>
    </row>
    <row r="1743" spans="3:3">
      <c r="C1743" s="261"/>
    </row>
    <row r="1744" spans="3:3">
      <c r="C1744" s="261"/>
    </row>
    <row r="1745" spans="3:3">
      <c r="C1745" s="261"/>
    </row>
    <row r="1746" spans="3:3">
      <c r="C1746" s="261"/>
    </row>
    <row r="1747" spans="3:3">
      <c r="C1747" s="261"/>
    </row>
    <row r="1748" spans="3:3">
      <c r="C1748" s="261"/>
    </row>
    <row r="1749" spans="3:3">
      <c r="C1749" s="261"/>
    </row>
    <row r="1750" spans="3:3">
      <c r="C1750" s="261"/>
    </row>
    <row r="1751" spans="3:3">
      <c r="C1751" s="261"/>
    </row>
    <row r="1752" spans="3:3">
      <c r="C1752" s="261"/>
    </row>
    <row r="1753" spans="3:3">
      <c r="C1753" s="261"/>
    </row>
    <row r="1754" spans="3:3">
      <c r="C1754" s="261"/>
    </row>
    <row r="1755" spans="3:3">
      <c r="C1755" s="261"/>
    </row>
    <row r="1756" spans="3:3">
      <c r="C1756" s="261"/>
    </row>
    <row r="1757" spans="3:3">
      <c r="C1757" s="261"/>
    </row>
    <row r="1758" spans="3:3">
      <c r="C1758" s="261"/>
    </row>
    <row r="1759" spans="3:3">
      <c r="C1759" s="261"/>
    </row>
    <row r="1760" spans="3:3">
      <c r="C1760" s="261"/>
    </row>
    <row r="1761" spans="3:3">
      <c r="C1761" s="261"/>
    </row>
    <row r="1762" spans="3:3">
      <c r="C1762" s="261"/>
    </row>
    <row r="1763" spans="3:3">
      <c r="C1763" s="261"/>
    </row>
    <row r="1764" spans="3:3">
      <c r="C1764" s="261"/>
    </row>
    <row r="1765" spans="3:3">
      <c r="C1765" s="261"/>
    </row>
    <row r="1766" spans="3:3">
      <c r="C1766" s="261"/>
    </row>
    <row r="1767" spans="3:3">
      <c r="C1767" s="261"/>
    </row>
    <row r="1768" spans="3:3">
      <c r="C1768" s="261"/>
    </row>
    <row r="1769" spans="3:3">
      <c r="C1769" s="261"/>
    </row>
    <row r="1770" spans="3:3">
      <c r="C1770" s="261"/>
    </row>
    <row r="1771" spans="3:3">
      <c r="C1771" s="261"/>
    </row>
    <row r="1772" spans="3:3">
      <c r="C1772" s="261"/>
    </row>
    <row r="1773" spans="3:3">
      <c r="C1773" s="261"/>
    </row>
    <row r="1774" spans="3:3">
      <c r="C1774" s="261"/>
    </row>
    <row r="1775" spans="3:3">
      <c r="C1775" s="261"/>
    </row>
    <row r="1776" spans="3:3">
      <c r="C1776" s="261"/>
    </row>
    <row r="1777" spans="3:3">
      <c r="C1777" s="261"/>
    </row>
    <row r="1778" spans="3:3">
      <c r="C1778" s="261"/>
    </row>
    <row r="1779" spans="3:3">
      <c r="C1779" s="261"/>
    </row>
    <row r="1780" spans="3:3">
      <c r="C1780" s="261"/>
    </row>
    <row r="1781" spans="3:3">
      <c r="C1781" s="261"/>
    </row>
    <row r="1782" spans="3:3">
      <c r="C1782" s="261"/>
    </row>
    <row r="1783" spans="3:3">
      <c r="C1783" s="261"/>
    </row>
    <row r="1784" spans="3:3">
      <c r="C1784" s="261"/>
    </row>
    <row r="1785" spans="3:3">
      <c r="C1785" s="261"/>
    </row>
    <row r="1786" spans="3:3">
      <c r="C1786" s="261"/>
    </row>
    <row r="1787" spans="3:3">
      <c r="C1787" s="261"/>
    </row>
    <row r="1788" spans="3:3">
      <c r="C1788" s="261"/>
    </row>
    <row r="1789" spans="3:3">
      <c r="C1789" s="261"/>
    </row>
    <row r="1790" spans="3:3">
      <c r="C1790" s="261"/>
    </row>
    <row r="1791" spans="3:3">
      <c r="C1791" s="261"/>
    </row>
    <row r="1792" spans="3:3">
      <c r="C1792" s="261"/>
    </row>
    <row r="1793" spans="3:3">
      <c r="C1793" s="261"/>
    </row>
    <row r="1794" spans="3:3">
      <c r="C1794" s="261"/>
    </row>
    <row r="1795" spans="3:3">
      <c r="C1795" s="261"/>
    </row>
    <row r="1796" spans="3:3">
      <c r="C1796" s="261"/>
    </row>
    <row r="1797" spans="3:3">
      <c r="C1797" s="261"/>
    </row>
    <row r="1798" spans="3:3">
      <c r="C1798" s="261"/>
    </row>
    <row r="1799" spans="3:3">
      <c r="C1799" s="261"/>
    </row>
    <row r="1800" spans="3:3">
      <c r="C1800" s="261"/>
    </row>
    <row r="1801" spans="3:3">
      <c r="C1801" s="261"/>
    </row>
    <row r="1802" spans="3:3">
      <c r="C1802" s="261"/>
    </row>
    <row r="1803" spans="3:3">
      <c r="C1803" s="261"/>
    </row>
    <row r="1804" spans="3:3">
      <c r="C1804" s="261"/>
    </row>
    <row r="1805" spans="3:3">
      <c r="C1805" s="261"/>
    </row>
    <row r="1806" spans="3:3">
      <c r="C1806" s="261"/>
    </row>
    <row r="1807" spans="3:3">
      <c r="C1807" s="261"/>
    </row>
    <row r="1808" spans="3:3">
      <c r="C1808" s="261"/>
    </row>
    <row r="1809" spans="3:3">
      <c r="C1809" s="261"/>
    </row>
    <row r="1810" spans="3:3">
      <c r="C1810" s="261"/>
    </row>
    <row r="1811" spans="3:3">
      <c r="C1811" s="261"/>
    </row>
    <row r="1812" spans="3:3">
      <c r="C1812" s="261"/>
    </row>
    <row r="1813" spans="3:3">
      <c r="C1813" s="261"/>
    </row>
    <row r="1814" spans="3:3">
      <c r="C1814" s="261"/>
    </row>
    <row r="1815" spans="3:3">
      <c r="C1815" s="261"/>
    </row>
    <row r="1816" spans="3:3">
      <c r="C1816" s="261"/>
    </row>
    <row r="1817" spans="3:3">
      <c r="C1817" s="261"/>
    </row>
    <row r="1818" spans="3:3">
      <c r="C1818" s="261"/>
    </row>
    <row r="1819" spans="3:3">
      <c r="C1819" s="261"/>
    </row>
    <row r="1820" spans="3:3">
      <c r="C1820" s="261"/>
    </row>
    <row r="1821" spans="3:3">
      <c r="C1821" s="261"/>
    </row>
    <row r="1822" spans="3:3">
      <c r="C1822" s="261"/>
    </row>
    <row r="1823" spans="3:3">
      <c r="C1823" s="261"/>
    </row>
    <row r="1824" spans="3:3">
      <c r="C1824" s="261"/>
    </row>
    <row r="1825" spans="3:3">
      <c r="C1825" s="261"/>
    </row>
    <row r="1826" spans="3:3">
      <c r="C1826" s="261"/>
    </row>
    <row r="1827" spans="3:3">
      <c r="C1827" s="261"/>
    </row>
    <row r="1828" spans="3:3">
      <c r="C1828" s="261"/>
    </row>
    <row r="1829" spans="3:3">
      <c r="C1829" s="261"/>
    </row>
    <row r="1830" spans="3:3">
      <c r="C1830" s="261"/>
    </row>
    <row r="1831" spans="3:3">
      <c r="C1831" s="261"/>
    </row>
    <row r="1832" spans="3:3">
      <c r="C1832" s="261"/>
    </row>
    <row r="1833" spans="3:3">
      <c r="C1833" s="261"/>
    </row>
    <row r="1834" spans="3:3">
      <c r="C1834" s="261"/>
    </row>
    <row r="1835" spans="3:3">
      <c r="C1835" s="261"/>
    </row>
    <row r="1836" spans="3:3">
      <c r="C1836" s="261"/>
    </row>
    <row r="1837" spans="3:3">
      <c r="C1837" s="261"/>
    </row>
    <row r="1838" spans="3:3">
      <c r="C1838" s="261"/>
    </row>
    <row r="1839" spans="3:3">
      <c r="C1839" s="261"/>
    </row>
    <row r="1840" spans="3:3">
      <c r="C1840" s="261"/>
    </row>
    <row r="1841" spans="3:3">
      <c r="C1841" s="261"/>
    </row>
    <row r="1842" spans="3:3">
      <c r="C1842" s="261"/>
    </row>
    <row r="1843" spans="3:3">
      <c r="C1843" s="261"/>
    </row>
    <row r="1844" spans="3:3">
      <c r="C1844" s="261"/>
    </row>
    <row r="1845" spans="3:3">
      <c r="C1845" s="261"/>
    </row>
    <row r="1846" spans="3:3">
      <c r="C1846" s="261"/>
    </row>
    <row r="1847" spans="3:3">
      <c r="C1847" s="261"/>
    </row>
    <row r="1848" spans="3:3">
      <c r="C1848" s="261"/>
    </row>
    <row r="1849" spans="3:3">
      <c r="C1849" s="261"/>
    </row>
    <row r="1850" spans="3:3">
      <c r="C1850" s="261"/>
    </row>
    <row r="1851" spans="3:3">
      <c r="C1851" s="261"/>
    </row>
    <row r="1852" spans="3:3">
      <c r="C1852" s="261"/>
    </row>
    <row r="1853" spans="3:3">
      <c r="C1853" s="261"/>
    </row>
    <row r="1854" spans="3:3">
      <c r="C1854" s="261"/>
    </row>
    <row r="1855" spans="3:3">
      <c r="C1855" s="261"/>
    </row>
    <row r="1856" spans="3:3">
      <c r="C1856" s="261"/>
    </row>
    <row r="1857" spans="3:3">
      <c r="C1857" s="261"/>
    </row>
    <row r="1858" spans="3:3">
      <c r="C1858" s="261"/>
    </row>
    <row r="1859" spans="3:3">
      <c r="C1859" s="261"/>
    </row>
    <row r="1860" spans="3:3">
      <c r="C1860" s="261"/>
    </row>
    <row r="1861" spans="3:3">
      <c r="C1861" s="261"/>
    </row>
  </sheetData>
  <sheetProtection sheet="1" objects="1" scenarios="1"/>
  <printOptions horizontalCentered="1" verticalCentered="1"/>
  <pageMargins left="0.35433070866141736" right="0.51181102362204722" top="0.27559055118110237" bottom="0.23622047244094491" header="0.31496062992125984" footer="0.31496062992125984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7"/>
  <sheetViews>
    <sheetView topLeftCell="A27" zoomScale="130" zoomScaleNormal="130" zoomScalePageLayoutView="130" workbookViewId="0">
      <selection activeCell="A23" sqref="A23:XFD29"/>
    </sheetView>
  </sheetViews>
  <sheetFormatPr baseColWidth="10" defaultRowHeight="12" x14ac:dyDescent="0"/>
  <cols>
    <col min="1" max="1" width="4.1640625" style="2" customWidth="1"/>
    <col min="2" max="2" width="23.1640625" style="43" customWidth="1"/>
    <col min="3" max="3" width="8.33203125" style="197" customWidth="1"/>
    <col min="4" max="4" width="7" style="282" customWidth="1"/>
    <col min="5" max="5" width="7" style="273" customWidth="1"/>
    <col min="6" max="17" width="7" style="197" customWidth="1"/>
    <col min="18" max="16384" width="10.83203125" style="2"/>
  </cols>
  <sheetData>
    <row r="2" spans="1:17">
      <c r="A2" s="381" t="s">
        <v>573</v>
      </c>
      <c r="C2" s="198"/>
      <c r="D2" s="380"/>
      <c r="E2" s="379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>
      <c r="A3" s="48"/>
      <c r="B3" s="382"/>
      <c r="C3" s="198"/>
      <c r="D3" s="380"/>
      <c r="E3" s="379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7">
      <c r="A4" s="381" t="s">
        <v>572</v>
      </c>
      <c r="C4" s="198"/>
      <c r="D4" s="380"/>
      <c r="E4" s="379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13" thickBot="1">
      <c r="A5" s="55"/>
      <c r="B5" s="55"/>
      <c r="C5" s="53"/>
      <c r="D5" s="378"/>
      <c r="E5" s="377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7" s="115" customFormat="1" ht="14" thickTop="1" thickBot="1">
      <c r="A6" s="108"/>
      <c r="B6" s="108"/>
      <c r="C6" s="108"/>
      <c r="D6" s="368">
        <v>1925</v>
      </c>
      <c r="E6" s="277">
        <v>1926</v>
      </c>
      <c r="F6" s="108">
        <v>1927</v>
      </c>
      <c r="G6" s="108">
        <v>1928</v>
      </c>
      <c r="H6" s="108">
        <v>1929</v>
      </c>
      <c r="I6" s="108">
        <v>1930</v>
      </c>
      <c r="J6" s="108">
        <v>1931</v>
      </c>
      <c r="K6" s="108">
        <v>1932</v>
      </c>
      <c r="L6" s="108">
        <v>1933</v>
      </c>
      <c r="M6" s="108">
        <v>1934</v>
      </c>
      <c r="N6" s="108">
        <v>1935</v>
      </c>
      <c r="O6" s="108">
        <v>1936</v>
      </c>
      <c r="P6" s="108">
        <v>1937</v>
      </c>
      <c r="Q6" s="108">
        <v>1938</v>
      </c>
    </row>
    <row r="7" spans="1:17" s="374" customFormat="1" ht="16.5" customHeight="1" thickTop="1">
      <c r="A7" s="366" t="s">
        <v>38</v>
      </c>
      <c r="B7" s="366" t="s">
        <v>37</v>
      </c>
      <c r="C7" s="97"/>
      <c r="D7" s="376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</row>
    <row r="8" spans="1:17" s="283" customFormat="1" ht="10">
      <c r="A8" s="363"/>
      <c r="B8" s="347" t="s">
        <v>444</v>
      </c>
      <c r="C8" s="85" t="s">
        <v>378</v>
      </c>
      <c r="D8" s="354">
        <f>'a-9'!H16</f>
        <v>5466.5749999999989</v>
      </c>
      <c r="E8" s="354">
        <f>'a-9'!I16</f>
        <v>6400.0499999999984</v>
      </c>
      <c r="F8" s="354">
        <f>'a-9'!J16</f>
        <v>7044.7000000000007</v>
      </c>
      <c r="G8" s="354">
        <f>'a-9'!K16</f>
        <v>7416.4250000000002</v>
      </c>
      <c r="H8" s="354">
        <f>'a-9'!L16</f>
        <v>8233.35</v>
      </c>
      <c r="I8" s="354">
        <f>'a-9'!M16</f>
        <v>8883.7749999999978</v>
      </c>
      <c r="J8" s="354">
        <f>'a-9'!N16</f>
        <v>7268.8</v>
      </c>
      <c r="K8" s="354">
        <f>'a-9'!O16</f>
        <v>6520.6750000000002</v>
      </c>
      <c r="L8" s="354">
        <f>'a-9'!P16</f>
        <v>6946.0749999999998</v>
      </c>
      <c r="M8" s="354">
        <f>'a-9'!Q16</f>
        <v>9987.5749999999989</v>
      </c>
      <c r="N8" s="354">
        <f>'a-9'!R16</f>
        <v>12180.37503662109</v>
      </c>
      <c r="O8" s="354">
        <f>'a-9'!S16</f>
        <v>13839.706465095524</v>
      </c>
      <c r="P8" s="354">
        <f>'a-9'!T16</f>
        <v>19258.805510871887</v>
      </c>
      <c r="Q8" s="354">
        <f>'a-9'!U16</f>
        <v>26904.778925565715</v>
      </c>
    </row>
    <row r="9" spans="1:17" s="315" customFormat="1" ht="10">
      <c r="A9" s="373"/>
      <c r="B9" s="347" t="s">
        <v>442</v>
      </c>
      <c r="C9" s="85" t="s">
        <v>510</v>
      </c>
      <c r="D9" s="354">
        <f t="shared" ref="D9:Q9" si="0">D95</f>
        <v>9144.5</v>
      </c>
      <c r="E9" s="354">
        <f t="shared" si="0"/>
        <v>10244.195166325164</v>
      </c>
      <c r="F9" s="354">
        <f t="shared" si="0"/>
        <v>11386.489260077171</v>
      </c>
      <c r="G9" s="354">
        <f t="shared" si="0"/>
        <v>12226.64417459715</v>
      </c>
      <c r="H9" s="354">
        <f t="shared" si="0"/>
        <v>12727.6129780348</v>
      </c>
      <c r="I9" s="354">
        <f t="shared" si="0"/>
        <v>12388.172863510948</v>
      </c>
      <c r="J9" s="354">
        <f t="shared" si="0"/>
        <v>10797.699241869042</v>
      </c>
      <c r="K9" s="354">
        <f t="shared" si="0"/>
        <v>9167.6707932848512</v>
      </c>
      <c r="L9" s="354">
        <f t="shared" si="0"/>
        <v>8996.9420572132822</v>
      </c>
      <c r="M9" s="354">
        <f t="shared" si="0"/>
        <v>9160.0504083526521</v>
      </c>
      <c r="N9" s="354">
        <f t="shared" si="0"/>
        <v>8845.8236649987648</v>
      </c>
      <c r="O9" s="354">
        <f t="shared" si="0"/>
        <v>8891.2495791030833</v>
      </c>
      <c r="P9" s="354">
        <f t="shared" si="0"/>
        <v>9138.8999156373975</v>
      </c>
      <c r="Q9" s="354">
        <f t="shared" si="0"/>
        <v>9934.1764146542246</v>
      </c>
    </row>
    <row r="10" spans="1:17" s="283" customFormat="1" ht="20">
      <c r="A10" s="363"/>
      <c r="B10" s="364" t="s">
        <v>571</v>
      </c>
      <c r="C10" s="85" t="s">
        <v>570</v>
      </c>
      <c r="D10" s="354">
        <f t="shared" ref="D10:Q10" si="1">SUM(D8:D9)</f>
        <v>14611.074999999999</v>
      </c>
      <c r="E10" s="354">
        <f t="shared" si="1"/>
        <v>16644.245166325163</v>
      </c>
      <c r="F10" s="354">
        <f t="shared" si="1"/>
        <v>18431.189260077172</v>
      </c>
      <c r="G10" s="354">
        <f t="shared" si="1"/>
        <v>19643.069174597149</v>
      </c>
      <c r="H10" s="354">
        <f t="shared" si="1"/>
        <v>20960.9629780348</v>
      </c>
      <c r="I10" s="354">
        <f t="shared" si="1"/>
        <v>21271.947863510948</v>
      </c>
      <c r="J10" s="354">
        <f t="shared" si="1"/>
        <v>18066.499241869042</v>
      </c>
      <c r="K10" s="354">
        <f t="shared" si="1"/>
        <v>15688.345793284851</v>
      </c>
      <c r="L10" s="354">
        <f t="shared" si="1"/>
        <v>15943.017057213281</v>
      </c>
      <c r="M10" s="354">
        <f t="shared" si="1"/>
        <v>19147.625408352651</v>
      </c>
      <c r="N10" s="354">
        <f t="shared" si="1"/>
        <v>21026.198701619855</v>
      </c>
      <c r="O10" s="354">
        <f t="shared" si="1"/>
        <v>22730.956044198607</v>
      </c>
      <c r="P10" s="354">
        <f t="shared" si="1"/>
        <v>28397.705426509285</v>
      </c>
      <c r="Q10" s="354">
        <f t="shared" si="1"/>
        <v>36838.955340219938</v>
      </c>
    </row>
    <row r="11" spans="1:17" s="283" customFormat="1" ht="10">
      <c r="A11" s="363"/>
      <c r="B11" s="347" t="s">
        <v>490</v>
      </c>
      <c r="C11" s="85" t="s">
        <v>569</v>
      </c>
      <c r="D11" s="354"/>
      <c r="E11" s="354"/>
      <c r="F11" s="354">
        <f t="shared" ref="F11:Q11" si="2">F126</f>
        <v>755.4</v>
      </c>
      <c r="G11" s="354">
        <f t="shared" si="2"/>
        <v>941.4</v>
      </c>
      <c r="H11" s="354">
        <f t="shared" si="2"/>
        <v>1372.2</v>
      </c>
      <c r="I11" s="354">
        <f t="shared" si="2"/>
        <v>1799.877</v>
      </c>
      <c r="J11" s="354">
        <f t="shared" si="2"/>
        <v>1530.5920000000001</v>
      </c>
      <c r="K11" s="354">
        <f t="shared" si="2"/>
        <v>874.52599999999995</v>
      </c>
      <c r="L11" s="354">
        <f t="shared" si="2"/>
        <v>1433.5450000000001</v>
      </c>
      <c r="M11" s="354">
        <f t="shared" si="2"/>
        <v>1289.443</v>
      </c>
      <c r="N11" s="354">
        <f t="shared" si="2"/>
        <v>1155.519</v>
      </c>
      <c r="O11" s="354">
        <f t="shared" si="2"/>
        <v>936.88699999999994</v>
      </c>
      <c r="P11" s="354">
        <f t="shared" si="2"/>
        <v>1064.954</v>
      </c>
      <c r="Q11" s="354">
        <f t="shared" si="2"/>
        <v>1684.681</v>
      </c>
    </row>
    <row r="12" spans="1:17" s="283" customFormat="1" ht="10">
      <c r="A12" s="363"/>
      <c r="B12" s="347" t="s">
        <v>568</v>
      </c>
      <c r="C12" s="85" t="s">
        <v>475</v>
      </c>
      <c r="D12" s="354">
        <f t="shared" ref="D12:Q12" si="3">D137</f>
        <v>2447.4</v>
      </c>
      <c r="E12" s="354">
        <f t="shared" si="3"/>
        <v>2848.7</v>
      </c>
      <c r="F12" s="354">
        <f t="shared" si="3"/>
        <v>3352.2</v>
      </c>
      <c r="G12" s="354">
        <f t="shared" si="3"/>
        <v>3919.9</v>
      </c>
      <c r="H12" s="354">
        <f t="shared" si="3"/>
        <v>4398.1000000000004</v>
      </c>
      <c r="I12" s="354">
        <f t="shared" si="3"/>
        <v>4379.8</v>
      </c>
      <c r="J12" s="354">
        <f t="shared" si="3"/>
        <v>4095.3</v>
      </c>
      <c r="K12" s="354">
        <f t="shared" si="3"/>
        <v>3304</v>
      </c>
      <c r="L12" s="354">
        <f t="shared" si="3"/>
        <v>3139.7</v>
      </c>
      <c r="M12" s="354">
        <f t="shared" si="3"/>
        <v>3355.5</v>
      </c>
      <c r="N12" s="354">
        <f t="shared" si="3"/>
        <v>3578.6</v>
      </c>
      <c r="O12" s="354">
        <f t="shared" si="3"/>
        <v>3750.2</v>
      </c>
      <c r="P12" s="354">
        <f t="shared" si="3"/>
        <v>3815.5</v>
      </c>
      <c r="Q12" s="354">
        <f t="shared" si="3"/>
        <v>4205.1000000000004</v>
      </c>
    </row>
    <row r="13" spans="1:17" s="283" customFormat="1" ht="22.5" customHeight="1">
      <c r="A13" s="363"/>
      <c r="B13" s="364" t="s">
        <v>567</v>
      </c>
      <c r="C13" s="85" t="s">
        <v>566</v>
      </c>
      <c r="D13" s="354">
        <f t="shared" ref="D13:Q13" si="4">D10+D11+D12</f>
        <v>17058.474999999999</v>
      </c>
      <c r="E13" s="354">
        <f t="shared" si="4"/>
        <v>19492.945166325164</v>
      </c>
      <c r="F13" s="354">
        <f t="shared" si="4"/>
        <v>22538.789260077174</v>
      </c>
      <c r="G13" s="354">
        <f t="shared" si="4"/>
        <v>24504.369174597152</v>
      </c>
      <c r="H13" s="354">
        <f t="shared" si="4"/>
        <v>26731.2629780348</v>
      </c>
      <c r="I13" s="354">
        <f t="shared" si="4"/>
        <v>27451.624863510948</v>
      </c>
      <c r="J13" s="354">
        <f t="shared" si="4"/>
        <v>23692.391241869042</v>
      </c>
      <c r="K13" s="354">
        <f t="shared" si="4"/>
        <v>19866.871793284852</v>
      </c>
      <c r="L13" s="354">
        <f t="shared" si="4"/>
        <v>20516.262057213284</v>
      </c>
      <c r="M13" s="354">
        <f t="shared" si="4"/>
        <v>23792.56840835265</v>
      </c>
      <c r="N13" s="354">
        <f t="shared" si="4"/>
        <v>25760.317701619853</v>
      </c>
      <c r="O13" s="354">
        <f t="shared" si="4"/>
        <v>27418.043044198606</v>
      </c>
      <c r="P13" s="354">
        <f t="shared" si="4"/>
        <v>33278.159426509286</v>
      </c>
      <c r="Q13" s="354">
        <f t="shared" si="4"/>
        <v>42728.736340219933</v>
      </c>
    </row>
    <row r="14" spans="1:17" s="283" customFormat="1" ht="30">
      <c r="A14" s="363"/>
      <c r="B14" s="364" t="s">
        <v>565</v>
      </c>
      <c r="C14" s="85" t="s">
        <v>349</v>
      </c>
      <c r="D14" s="354">
        <f>'a-8'!N21</f>
        <v>85</v>
      </c>
      <c r="E14" s="354">
        <f>'a-8'!N25</f>
        <v>280.5</v>
      </c>
      <c r="F14" s="354">
        <f>'a-8'!N29</f>
        <v>490.1</v>
      </c>
      <c r="G14" s="354">
        <f>'a-8'!N33</f>
        <v>549.9</v>
      </c>
      <c r="H14" s="354">
        <f>'a-8'!N37</f>
        <v>484.9</v>
      </c>
      <c r="I14" s="354">
        <f>'a-8'!N41</f>
        <v>953.09999999999991</v>
      </c>
      <c r="J14" s="354">
        <f>'a-8'!N45</f>
        <v>747.1</v>
      </c>
      <c r="K14" s="354">
        <f>'a-8'!N73</f>
        <v>771.72500000000002</v>
      </c>
      <c r="L14" s="354">
        <f>'a-8'!N77</f>
        <v>453.57499999999999</v>
      </c>
      <c r="M14" s="354">
        <f>'a-8'!N81</f>
        <v>372.5</v>
      </c>
      <c r="N14" s="354">
        <f>'a-8'!N85</f>
        <v>331.9</v>
      </c>
      <c r="O14" s="354">
        <f>'a-8'!N89</f>
        <v>593</v>
      </c>
      <c r="P14" s="354">
        <f>'a-8'!N93</f>
        <v>636.9</v>
      </c>
      <c r="Q14" s="354">
        <f>'a-8'!N97</f>
        <v>852.1</v>
      </c>
    </row>
    <row r="15" spans="1:17" s="283" customFormat="1" ht="10">
      <c r="A15" s="363"/>
      <c r="B15" s="347" t="s">
        <v>564</v>
      </c>
      <c r="C15" s="85" t="s">
        <v>505</v>
      </c>
      <c r="D15" s="354">
        <f t="shared" ref="D15:Q15" si="5">D103</f>
        <v>53.7</v>
      </c>
      <c r="E15" s="354">
        <f t="shared" si="5"/>
        <v>85.86058754418076</v>
      </c>
      <c r="F15" s="354">
        <f t="shared" si="5"/>
        <v>117.98055688674084</v>
      </c>
      <c r="G15" s="354">
        <f t="shared" si="5"/>
        <v>179.64468238444829</v>
      </c>
      <c r="H15" s="354">
        <f t="shared" si="5"/>
        <v>196.96994697679668</v>
      </c>
      <c r="I15" s="354">
        <f t="shared" si="5"/>
        <v>224.93374213821909</v>
      </c>
      <c r="J15" s="354">
        <f t="shared" si="5"/>
        <v>231.08353504631239</v>
      </c>
      <c r="K15" s="354">
        <f t="shared" si="5"/>
        <v>185.82604691499171</v>
      </c>
      <c r="L15" s="354">
        <f t="shared" si="5"/>
        <v>227.60336615538688</v>
      </c>
      <c r="M15" s="354">
        <f t="shared" si="5"/>
        <v>294.27330129312486</v>
      </c>
      <c r="N15" s="354">
        <f t="shared" si="5"/>
        <v>351.25528964158423</v>
      </c>
      <c r="O15" s="354">
        <f t="shared" si="5"/>
        <v>460.27000420324111</v>
      </c>
      <c r="P15" s="354">
        <f t="shared" si="5"/>
        <v>576.44838851511156</v>
      </c>
      <c r="Q15" s="354">
        <f t="shared" si="5"/>
        <v>590.86410233648098</v>
      </c>
    </row>
    <row r="16" spans="1:17" s="283" customFormat="1" ht="10">
      <c r="A16" s="363"/>
      <c r="B16" s="347" t="s">
        <v>563</v>
      </c>
      <c r="C16" s="85" t="s">
        <v>562</v>
      </c>
      <c r="D16" s="354">
        <f t="shared" ref="D16:Q16" si="6">D14+D15</f>
        <v>138.69999999999999</v>
      </c>
      <c r="E16" s="354">
        <f t="shared" si="6"/>
        <v>366.36058754418076</v>
      </c>
      <c r="F16" s="354">
        <f t="shared" si="6"/>
        <v>608.08055688674085</v>
      </c>
      <c r="G16" s="354">
        <f t="shared" si="6"/>
        <v>729.54468238444827</v>
      </c>
      <c r="H16" s="354">
        <f t="shared" si="6"/>
        <v>681.86994697679665</v>
      </c>
      <c r="I16" s="354">
        <f t="shared" si="6"/>
        <v>1178.0337421382189</v>
      </c>
      <c r="J16" s="354">
        <f t="shared" si="6"/>
        <v>978.18353504631239</v>
      </c>
      <c r="K16" s="354">
        <f t="shared" si="6"/>
        <v>957.55104691499173</v>
      </c>
      <c r="L16" s="354">
        <f t="shared" si="6"/>
        <v>681.17836615538681</v>
      </c>
      <c r="M16" s="354">
        <f t="shared" si="6"/>
        <v>666.77330129312486</v>
      </c>
      <c r="N16" s="354">
        <f t="shared" si="6"/>
        <v>683.1552896415842</v>
      </c>
      <c r="O16" s="354">
        <f t="shared" si="6"/>
        <v>1053.2700042032411</v>
      </c>
      <c r="P16" s="354">
        <f t="shared" si="6"/>
        <v>1213.3483885151115</v>
      </c>
      <c r="Q16" s="354">
        <f t="shared" si="6"/>
        <v>1442.9641023364811</v>
      </c>
    </row>
    <row r="17" spans="1:17" s="283" customFormat="1" ht="20">
      <c r="A17" s="366" t="s">
        <v>140</v>
      </c>
      <c r="B17" s="364" t="s">
        <v>561</v>
      </c>
      <c r="C17" s="85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</row>
    <row r="18" spans="1:17" s="283" customFormat="1" ht="10">
      <c r="A18" s="363"/>
      <c r="B18" s="347" t="s">
        <v>444</v>
      </c>
      <c r="C18" s="85" t="s">
        <v>560</v>
      </c>
      <c r="D18" s="354">
        <f t="shared" ref="D18:Q18" si="7">D8-D14</f>
        <v>5381.5749999999989</v>
      </c>
      <c r="E18" s="354">
        <f t="shared" si="7"/>
        <v>6119.5499999999984</v>
      </c>
      <c r="F18" s="354">
        <f t="shared" si="7"/>
        <v>6554.6</v>
      </c>
      <c r="G18" s="354">
        <f t="shared" si="7"/>
        <v>6866.5250000000005</v>
      </c>
      <c r="H18" s="354">
        <f t="shared" si="7"/>
        <v>7748.4500000000007</v>
      </c>
      <c r="I18" s="354">
        <f t="shared" si="7"/>
        <v>7930.6749999999975</v>
      </c>
      <c r="J18" s="354">
        <f t="shared" si="7"/>
        <v>6521.7</v>
      </c>
      <c r="K18" s="354">
        <f t="shared" si="7"/>
        <v>5748.95</v>
      </c>
      <c r="L18" s="354">
        <f t="shared" si="7"/>
        <v>6492.5</v>
      </c>
      <c r="M18" s="354">
        <f t="shared" si="7"/>
        <v>9615.0749999999989</v>
      </c>
      <c r="N18" s="354">
        <f t="shared" si="7"/>
        <v>11848.47503662109</v>
      </c>
      <c r="O18" s="354">
        <f t="shared" si="7"/>
        <v>13246.706465095524</v>
      </c>
      <c r="P18" s="354">
        <f t="shared" si="7"/>
        <v>18621.905510871886</v>
      </c>
      <c r="Q18" s="354">
        <f t="shared" si="7"/>
        <v>26052.678925565717</v>
      </c>
    </row>
    <row r="19" spans="1:17" s="283" customFormat="1" ht="10">
      <c r="A19" s="363"/>
      <c r="B19" s="347" t="s">
        <v>513</v>
      </c>
      <c r="C19" s="85" t="s">
        <v>559</v>
      </c>
      <c r="D19" s="354">
        <f t="shared" ref="D19:Q19" si="8">D9-D15</f>
        <v>9090.7999999999993</v>
      </c>
      <c r="E19" s="354">
        <f t="shared" si="8"/>
        <v>10158.334578780983</v>
      </c>
      <c r="F19" s="354">
        <f t="shared" si="8"/>
        <v>11268.50870319043</v>
      </c>
      <c r="G19" s="354">
        <f t="shared" si="8"/>
        <v>12046.999492212701</v>
      </c>
      <c r="H19" s="354">
        <f t="shared" si="8"/>
        <v>12530.643031058004</v>
      </c>
      <c r="I19" s="354">
        <f t="shared" si="8"/>
        <v>12163.23912137273</v>
      </c>
      <c r="J19" s="354">
        <f t="shared" si="8"/>
        <v>10566.615706822729</v>
      </c>
      <c r="K19" s="354">
        <f t="shared" si="8"/>
        <v>8981.8447463698594</v>
      </c>
      <c r="L19" s="354">
        <f t="shared" si="8"/>
        <v>8769.3386910578956</v>
      </c>
      <c r="M19" s="354">
        <f t="shared" si="8"/>
        <v>8865.7771070595263</v>
      </c>
      <c r="N19" s="354">
        <f t="shared" si="8"/>
        <v>8494.5683753571811</v>
      </c>
      <c r="O19" s="354">
        <f t="shared" si="8"/>
        <v>8430.9795748998422</v>
      </c>
      <c r="P19" s="354">
        <f t="shared" si="8"/>
        <v>8562.4515271222863</v>
      </c>
      <c r="Q19" s="354">
        <f t="shared" si="8"/>
        <v>9343.3123123177429</v>
      </c>
    </row>
    <row r="20" spans="1:17" s="283" customFormat="1" ht="20">
      <c r="A20" s="363"/>
      <c r="B20" s="95" t="s">
        <v>558</v>
      </c>
      <c r="C20" s="85" t="s">
        <v>557</v>
      </c>
      <c r="D20" s="354">
        <f>D18+D19+D11+D12</f>
        <v>16919.774999999998</v>
      </c>
      <c r="E20" s="354">
        <f>E18+E19+E11+E12</f>
        <v>19126.584578780981</v>
      </c>
      <c r="F20" s="354">
        <f t="shared" ref="F20:Q20" si="9">F18+F19+F12+F11</f>
        <v>21930.708703190434</v>
      </c>
      <c r="G20" s="354">
        <f t="shared" si="9"/>
        <v>23774.824492212705</v>
      </c>
      <c r="H20" s="354">
        <f t="shared" si="9"/>
        <v>26049.393031058007</v>
      </c>
      <c r="I20" s="354">
        <f t="shared" si="9"/>
        <v>26273.591121372727</v>
      </c>
      <c r="J20" s="354">
        <f t="shared" si="9"/>
        <v>22714.20770682273</v>
      </c>
      <c r="K20" s="354">
        <f t="shared" si="9"/>
        <v>18909.32074636986</v>
      </c>
      <c r="L20" s="354">
        <f t="shared" si="9"/>
        <v>19835.083691057895</v>
      </c>
      <c r="M20" s="354">
        <f t="shared" si="9"/>
        <v>23125.795107059523</v>
      </c>
      <c r="N20" s="354">
        <f t="shared" si="9"/>
        <v>25077.162411978272</v>
      </c>
      <c r="O20" s="354">
        <f t="shared" si="9"/>
        <v>26364.773039995365</v>
      </c>
      <c r="P20" s="354">
        <f t="shared" si="9"/>
        <v>32064.811037994175</v>
      </c>
      <c r="Q20" s="354">
        <f t="shared" si="9"/>
        <v>41285.772237883451</v>
      </c>
    </row>
    <row r="21" spans="1:17" s="283" customFormat="1" ht="20">
      <c r="A21" s="366" t="s">
        <v>158</v>
      </c>
      <c r="B21" s="366" t="s">
        <v>556</v>
      </c>
      <c r="C21" s="85"/>
      <c r="D21" s="354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</row>
    <row r="22" spans="1:17" s="283" customFormat="1" ht="10">
      <c r="B22" s="347" t="s">
        <v>555</v>
      </c>
      <c r="C22" s="85" t="s">
        <v>554</v>
      </c>
      <c r="D22" s="354">
        <v>114</v>
      </c>
      <c r="E22" s="205">
        <v>103</v>
      </c>
      <c r="F22" s="205">
        <v>160</v>
      </c>
      <c r="G22" s="205">
        <v>216</v>
      </c>
      <c r="H22" s="205">
        <v>181</v>
      </c>
      <c r="I22" s="205">
        <v>291</v>
      </c>
      <c r="J22" s="205">
        <v>300</v>
      </c>
      <c r="K22" s="205">
        <v>310</v>
      </c>
      <c r="L22" s="205">
        <v>312</v>
      </c>
      <c r="M22" s="205">
        <v>344</v>
      </c>
      <c r="N22" s="205">
        <v>320</v>
      </c>
      <c r="O22" s="205">
        <v>310</v>
      </c>
      <c r="P22" s="205">
        <v>350</v>
      </c>
      <c r="Q22" s="205">
        <v>360</v>
      </c>
    </row>
    <row r="23" spans="1:17" s="283" customFormat="1" ht="10">
      <c r="B23" s="347" t="s">
        <v>553</v>
      </c>
      <c r="C23" s="85" t="s">
        <v>552</v>
      </c>
      <c r="D23" s="354">
        <v>1080</v>
      </c>
      <c r="E23" s="205">
        <v>1297</v>
      </c>
      <c r="F23" s="205">
        <v>1712</v>
      </c>
      <c r="G23" s="205">
        <v>2159</v>
      </c>
      <c r="H23" s="205">
        <v>1964</v>
      </c>
      <c r="I23" s="205">
        <v>1879</v>
      </c>
      <c r="J23" s="205">
        <v>988</v>
      </c>
      <c r="K23" s="205">
        <v>183</v>
      </c>
      <c r="L23" s="205">
        <v>149</v>
      </c>
      <c r="M23" s="205">
        <v>50</v>
      </c>
      <c r="N23" s="205"/>
      <c r="O23" s="205"/>
      <c r="P23" s="205"/>
      <c r="Q23" s="205"/>
    </row>
    <row r="24" spans="1:17" s="283" customFormat="1" ht="10">
      <c r="B24" s="347" t="s">
        <v>551</v>
      </c>
      <c r="C24" s="85"/>
      <c r="D24" s="354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</row>
    <row r="25" spans="1:17" s="283" customFormat="1" ht="10">
      <c r="B25" s="347" t="s">
        <v>550</v>
      </c>
      <c r="C25" s="85" t="s">
        <v>353</v>
      </c>
      <c r="D25" s="354">
        <f>'a-8'!I21</f>
        <v>67</v>
      </c>
      <c r="E25" s="354">
        <f>'a-8'!I25</f>
        <v>71.199999999999989</v>
      </c>
      <c r="F25" s="354">
        <f>'a-8'!I29</f>
        <v>95.2</v>
      </c>
      <c r="G25" s="354">
        <f>'a-8'!I33</f>
        <v>128.19999999999999</v>
      </c>
      <c r="H25" s="354">
        <f>'a-8'!I37</f>
        <v>217.39999999999998</v>
      </c>
      <c r="I25" s="354">
        <f>'a-8'!I41</f>
        <v>289.8</v>
      </c>
      <c r="J25" s="354">
        <f>'a-8'!I45</f>
        <v>309.3</v>
      </c>
      <c r="K25" s="354">
        <f>'a-8'!I73</f>
        <v>310.8</v>
      </c>
      <c r="L25" s="354">
        <f>'a-8'!I77</f>
        <v>360.4</v>
      </c>
      <c r="M25" s="354">
        <f>'a-8'!I81</f>
        <v>425.5</v>
      </c>
      <c r="N25" s="354">
        <f>'a-8'!I85</f>
        <v>588.9</v>
      </c>
      <c r="O25" s="354">
        <f>'a-8'!I89</f>
        <v>785.6</v>
      </c>
      <c r="P25" s="354">
        <f>'a-8'!I93</f>
        <v>958.5</v>
      </c>
      <c r="Q25" s="354">
        <f>'a-8'!I97</f>
        <v>1291.8</v>
      </c>
    </row>
    <row r="26" spans="1:17" s="283" customFormat="1" ht="10">
      <c r="B26" s="50" t="s">
        <v>549</v>
      </c>
      <c r="C26" s="85" t="s">
        <v>498</v>
      </c>
      <c r="D26" s="354">
        <f t="shared" ref="D26:Q26" si="10">D109</f>
        <v>96</v>
      </c>
      <c r="E26" s="354">
        <f t="shared" si="10"/>
        <v>150.28456608567416</v>
      </c>
      <c r="F26" s="354">
        <f t="shared" si="10"/>
        <v>238.17625801603094</v>
      </c>
      <c r="G26" s="354">
        <f t="shared" si="10"/>
        <v>348.97734005470738</v>
      </c>
      <c r="H26" s="354">
        <f t="shared" si="10"/>
        <v>478.35821027337369</v>
      </c>
      <c r="I26" s="354">
        <f t="shared" si="10"/>
        <v>551.30957407567007</v>
      </c>
      <c r="J26" s="354">
        <f t="shared" si="10"/>
        <v>596.73536433605602</v>
      </c>
      <c r="K26" s="354">
        <f t="shared" si="10"/>
        <v>516.54550556750087</v>
      </c>
      <c r="L26" s="354">
        <f t="shared" si="10"/>
        <v>488.89996932724318</v>
      </c>
      <c r="M26" s="354">
        <f t="shared" si="10"/>
        <v>483.23943041728961</v>
      </c>
      <c r="N26" s="354">
        <f t="shared" si="10"/>
        <v>490.59584633377921</v>
      </c>
      <c r="O26" s="354">
        <f t="shared" si="10"/>
        <v>437.2453381462887</v>
      </c>
      <c r="P26" s="354">
        <f t="shared" si="10"/>
        <v>407.91764575627366</v>
      </c>
      <c r="Q26" s="354">
        <f t="shared" si="10"/>
        <v>368.98406517142843</v>
      </c>
    </row>
    <row r="27" spans="1:17" s="283" customFormat="1" ht="10">
      <c r="B27" s="347" t="s">
        <v>548</v>
      </c>
      <c r="C27" s="85" t="s">
        <v>547</v>
      </c>
      <c r="D27" s="354">
        <f t="shared" ref="D27:Q27" si="11">D26+D25</f>
        <v>163</v>
      </c>
      <c r="E27" s="205">
        <f t="shared" si="11"/>
        <v>221.48456608567415</v>
      </c>
      <c r="F27" s="205">
        <f t="shared" si="11"/>
        <v>333.37625801603093</v>
      </c>
      <c r="G27" s="205">
        <f t="shared" si="11"/>
        <v>477.17734005470737</v>
      </c>
      <c r="H27" s="205">
        <f t="shared" si="11"/>
        <v>695.75821027337361</v>
      </c>
      <c r="I27" s="205">
        <f t="shared" si="11"/>
        <v>841.10957407567003</v>
      </c>
      <c r="J27" s="205">
        <f t="shared" si="11"/>
        <v>906.03536433605609</v>
      </c>
      <c r="K27" s="205">
        <f t="shared" si="11"/>
        <v>827.34550556750082</v>
      </c>
      <c r="L27" s="205">
        <f t="shared" si="11"/>
        <v>849.29996932724316</v>
      </c>
      <c r="M27" s="205">
        <f t="shared" si="11"/>
        <v>908.73943041728967</v>
      </c>
      <c r="N27" s="205">
        <f t="shared" si="11"/>
        <v>1079.4958463337791</v>
      </c>
      <c r="O27" s="205">
        <f t="shared" si="11"/>
        <v>1222.8453381462887</v>
      </c>
      <c r="P27" s="205">
        <f t="shared" si="11"/>
        <v>1366.4176457562737</v>
      </c>
      <c r="Q27" s="205">
        <f t="shared" si="11"/>
        <v>1660.7840651714284</v>
      </c>
    </row>
    <row r="28" spans="1:17" s="283" customFormat="1" ht="20">
      <c r="B28" s="347" t="s">
        <v>546</v>
      </c>
      <c r="C28" s="85" t="s">
        <v>545</v>
      </c>
      <c r="D28" s="354">
        <v>5334</v>
      </c>
      <c r="E28" s="205">
        <v>6899</v>
      </c>
      <c r="F28" s="205">
        <v>7193</v>
      </c>
      <c r="G28" s="205">
        <v>8215</v>
      </c>
      <c r="H28" s="205">
        <v>8970</v>
      </c>
      <c r="I28" s="205">
        <v>9776</v>
      </c>
      <c r="J28" s="205">
        <v>9862</v>
      </c>
      <c r="K28" s="205">
        <v>9140</v>
      </c>
      <c r="L28" s="205">
        <v>8282</v>
      </c>
      <c r="M28" s="205">
        <v>7665</v>
      </c>
      <c r="N28" s="205">
        <v>7672</v>
      </c>
      <c r="O28" s="205">
        <v>7542</v>
      </c>
      <c r="P28" s="205">
        <v>7350</v>
      </c>
      <c r="Q28" s="205">
        <v>7719</v>
      </c>
    </row>
    <row r="29" spans="1:17" s="283" customFormat="1" ht="12.75" customHeight="1">
      <c r="B29" s="347" t="s">
        <v>544</v>
      </c>
      <c r="C29" s="85" t="s">
        <v>543</v>
      </c>
      <c r="D29" s="354">
        <v>763</v>
      </c>
      <c r="E29" s="205">
        <v>848</v>
      </c>
      <c r="F29" s="205">
        <v>1042</v>
      </c>
      <c r="G29" s="205">
        <v>1204</v>
      </c>
      <c r="H29" s="205">
        <v>1342</v>
      </c>
      <c r="I29" s="205">
        <v>1468</v>
      </c>
      <c r="J29" s="205">
        <v>1252</v>
      </c>
      <c r="K29" s="205">
        <v>864</v>
      </c>
      <c r="L29" s="205">
        <v>930</v>
      </c>
      <c r="M29" s="205">
        <v>1042</v>
      </c>
      <c r="N29" s="205">
        <v>1139</v>
      </c>
      <c r="O29" s="205">
        <v>1175</v>
      </c>
      <c r="P29" s="205">
        <v>1215</v>
      </c>
      <c r="Q29" s="205">
        <v>1448</v>
      </c>
    </row>
    <row r="30" spans="1:17" s="283" customFormat="1" ht="10">
      <c r="B30" s="347" t="s">
        <v>542</v>
      </c>
      <c r="C30" s="85" t="s">
        <v>541</v>
      </c>
      <c r="D30" s="354">
        <f t="shared" ref="D30:Q30" si="12">D22+D23+D27+D28+D29</f>
        <v>7454</v>
      </c>
      <c r="E30" s="354">
        <f t="shared" si="12"/>
        <v>9368.4845660856736</v>
      </c>
      <c r="F30" s="354">
        <f t="shared" si="12"/>
        <v>10440.376258016031</v>
      </c>
      <c r="G30" s="354">
        <f t="shared" si="12"/>
        <v>12271.177340054706</v>
      </c>
      <c r="H30" s="354">
        <f t="shared" si="12"/>
        <v>13152.758210273374</v>
      </c>
      <c r="I30" s="354">
        <f t="shared" si="12"/>
        <v>14255.10957407567</v>
      </c>
      <c r="J30" s="354">
        <f t="shared" si="12"/>
        <v>13308.035364336056</v>
      </c>
      <c r="K30" s="354">
        <f t="shared" si="12"/>
        <v>11324.3455055675</v>
      </c>
      <c r="L30" s="354">
        <f t="shared" si="12"/>
        <v>10522.299969327243</v>
      </c>
      <c r="M30" s="354">
        <f t="shared" si="12"/>
        <v>10009.73943041729</v>
      </c>
      <c r="N30" s="354">
        <f t="shared" si="12"/>
        <v>10210.495846333779</v>
      </c>
      <c r="O30" s="354">
        <f t="shared" si="12"/>
        <v>10249.84533814629</v>
      </c>
      <c r="P30" s="354">
        <f t="shared" si="12"/>
        <v>10281.417645756273</v>
      </c>
      <c r="Q30" s="354">
        <f t="shared" si="12"/>
        <v>11187.784065171429</v>
      </c>
    </row>
    <row r="31" spans="1:17" s="283" customFormat="1" ht="11" thickBot="1">
      <c r="A31" s="355"/>
      <c r="B31" s="370"/>
      <c r="C31" s="20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</row>
    <row r="32" spans="1:17" s="283" customFormat="1" ht="11" thickTop="1">
      <c r="A32" s="303"/>
      <c r="B32" s="364"/>
      <c r="C32" s="85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</row>
    <row r="33" spans="1:17" s="283" customFormat="1" ht="10">
      <c r="B33" s="364" t="s">
        <v>956</v>
      </c>
      <c r="C33" s="85"/>
      <c r="D33" s="354">
        <f>'b-5d'!D11*1000</f>
        <v>9465.7749999999978</v>
      </c>
      <c r="E33" s="354">
        <f>'b-5d'!E11*1000</f>
        <v>9758.1000126953077</v>
      </c>
      <c r="F33" s="354">
        <f>'b-5d'!F11*1000</f>
        <v>11490.332445174403</v>
      </c>
      <c r="G33" s="354">
        <f>'b-5d'!G11*1000</f>
        <v>11503.647152157999</v>
      </c>
      <c r="H33" s="354">
        <f>'b-5d'!H11*1000</f>
        <v>12896.634820784633</v>
      </c>
      <c r="I33" s="354">
        <f>'b-5d'!I11*1000</f>
        <v>12018.481547297057</v>
      </c>
      <c r="J33" s="354">
        <f>'b-5d'!J11*1000</f>
        <v>9406.1723424866741</v>
      </c>
      <c r="K33" s="354">
        <f>'b-5d'!K11*1000</f>
        <v>7584.9752408023596</v>
      </c>
      <c r="L33" s="354">
        <f>'b-5d'!L11*1000</f>
        <v>9312.7837217306515</v>
      </c>
      <c r="M33" s="354">
        <f>'b-5d'!M11*1000</f>
        <v>13116.055676642232</v>
      </c>
      <c r="N33" s="354">
        <f>'b-5d'!N11*1000</f>
        <v>14866.666565644493</v>
      </c>
      <c r="O33" s="354">
        <f>'b-5d'!O11*1000</f>
        <v>16114.927701849076</v>
      </c>
      <c r="Q33" s="371" t="s">
        <v>167</v>
      </c>
    </row>
    <row r="34" spans="1:17" s="283" customFormat="1" ht="10">
      <c r="B34" s="364"/>
      <c r="C34" s="85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Q34" s="371"/>
    </row>
    <row r="35" spans="1:17" s="283" customFormat="1" ht="10">
      <c r="B35" s="364"/>
      <c r="C35" s="85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Q35" s="371"/>
    </row>
    <row r="36" spans="1:17" s="283" customFormat="1" ht="10">
      <c r="B36" s="364"/>
      <c r="C36" s="85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Q36" s="371"/>
    </row>
    <row r="37" spans="1:17" s="283" customFormat="1" ht="10">
      <c r="B37" s="364"/>
      <c r="C37" s="85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Q37" s="371"/>
    </row>
    <row r="38" spans="1:17" s="283" customFormat="1">
      <c r="A38" s="102" t="s">
        <v>540</v>
      </c>
      <c r="B38" s="364"/>
      <c r="C38" s="85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</row>
    <row r="39" spans="1:17" s="283" customFormat="1">
      <c r="A39" s="52"/>
      <c r="B39" s="364"/>
      <c r="C39" s="85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</row>
    <row r="40" spans="1:17" s="283" customFormat="1">
      <c r="A40" s="102"/>
      <c r="B40" s="347"/>
      <c r="C40" s="85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4"/>
    </row>
    <row r="41" spans="1:17" s="115" customFormat="1" ht="13" thickBot="1">
      <c r="A41" s="100"/>
      <c r="B41" s="370"/>
      <c r="C41" s="20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</row>
    <row r="42" spans="1:17" s="283" customFormat="1" ht="14" thickTop="1" thickBot="1">
      <c r="A42" s="108"/>
      <c r="B42" s="108"/>
      <c r="C42" s="108"/>
      <c r="D42" s="368">
        <v>1925</v>
      </c>
      <c r="E42" s="277">
        <v>1926</v>
      </c>
      <c r="F42" s="108">
        <v>1927</v>
      </c>
      <c r="G42" s="108">
        <v>1928</v>
      </c>
      <c r="H42" s="108">
        <v>1929</v>
      </c>
      <c r="I42" s="108">
        <v>1930</v>
      </c>
      <c r="J42" s="108">
        <v>1931</v>
      </c>
      <c r="K42" s="108">
        <v>1932</v>
      </c>
      <c r="L42" s="108">
        <v>1933</v>
      </c>
      <c r="M42" s="108">
        <v>1934</v>
      </c>
      <c r="N42" s="108">
        <v>1935</v>
      </c>
      <c r="O42" s="108">
        <v>1936</v>
      </c>
      <c r="P42" s="108">
        <v>1937</v>
      </c>
      <c r="Q42" s="108">
        <v>1938</v>
      </c>
    </row>
    <row r="43" spans="1:17" s="283" customFormat="1" ht="11" thickTop="1"/>
    <row r="44" spans="1:17" s="283" customFormat="1" ht="30">
      <c r="A44" s="367" t="s">
        <v>539</v>
      </c>
      <c r="B44" s="366" t="s">
        <v>538</v>
      </c>
      <c r="C44" s="85" t="s">
        <v>537</v>
      </c>
      <c r="D44" s="354">
        <f t="shared" ref="D44:Q44" si="13">D20-D30</f>
        <v>9465.7749999999978</v>
      </c>
      <c r="E44" s="354">
        <f t="shared" si="13"/>
        <v>9758.1000126953077</v>
      </c>
      <c r="F44" s="354">
        <f t="shared" si="13"/>
        <v>11490.332445174403</v>
      </c>
      <c r="G44" s="354">
        <f t="shared" si="13"/>
        <v>11503.647152157999</v>
      </c>
      <c r="H44" s="354">
        <f t="shared" si="13"/>
        <v>12896.634820784633</v>
      </c>
      <c r="I44" s="354">
        <f t="shared" si="13"/>
        <v>12018.481547297057</v>
      </c>
      <c r="J44" s="354">
        <f t="shared" si="13"/>
        <v>9406.1723424866741</v>
      </c>
      <c r="K44" s="354">
        <f t="shared" si="13"/>
        <v>7584.9752408023596</v>
      </c>
      <c r="L44" s="354">
        <f t="shared" si="13"/>
        <v>9312.7837217306515</v>
      </c>
      <c r="M44" s="354">
        <f t="shared" si="13"/>
        <v>13116.055676642232</v>
      </c>
      <c r="N44" s="354">
        <f t="shared" si="13"/>
        <v>14866.666565644493</v>
      </c>
      <c r="O44" s="354">
        <f t="shared" si="13"/>
        <v>16114.927701849076</v>
      </c>
      <c r="P44" s="354">
        <f t="shared" si="13"/>
        <v>21783.3933922379</v>
      </c>
      <c r="Q44" s="354">
        <f t="shared" si="13"/>
        <v>30097.988172712023</v>
      </c>
    </row>
    <row r="45" spans="1:17" s="283" customFormat="1" ht="20">
      <c r="A45" s="363"/>
      <c r="B45" s="364" t="s">
        <v>536</v>
      </c>
      <c r="C45" s="85" t="s">
        <v>535</v>
      </c>
      <c r="D45" s="354">
        <v>1407</v>
      </c>
      <c r="E45" s="205">
        <v>2285</v>
      </c>
      <c r="F45" s="205">
        <v>2690</v>
      </c>
      <c r="G45" s="205">
        <v>2658</v>
      </c>
      <c r="H45" s="205">
        <v>2670</v>
      </c>
      <c r="I45" s="205">
        <v>2092</v>
      </c>
      <c r="J45" s="205">
        <v>1456</v>
      </c>
      <c r="K45" s="205">
        <v>1095</v>
      </c>
      <c r="L45" s="205">
        <v>1416</v>
      </c>
      <c r="M45" s="205">
        <v>2943</v>
      </c>
      <c r="N45" s="205">
        <v>4900</v>
      </c>
      <c r="O45" s="205">
        <v>5400</v>
      </c>
      <c r="P45" s="205">
        <v>6100</v>
      </c>
      <c r="Q45" s="205">
        <v>7900</v>
      </c>
    </row>
    <row r="46" spans="1:17" s="283" customFormat="1" ht="10">
      <c r="A46" s="363"/>
      <c r="B46" s="347" t="s">
        <v>534</v>
      </c>
      <c r="C46" s="85" t="s">
        <v>533</v>
      </c>
      <c r="D46" s="354">
        <f t="shared" ref="D46:Q46" si="14">D44-D45</f>
        <v>8058.7749999999978</v>
      </c>
      <c r="E46" s="354">
        <f t="shared" si="14"/>
        <v>7473.1000126953077</v>
      </c>
      <c r="F46" s="354">
        <f t="shared" si="14"/>
        <v>8800.3324451744029</v>
      </c>
      <c r="G46" s="354">
        <f t="shared" si="14"/>
        <v>8845.6471521579988</v>
      </c>
      <c r="H46" s="354">
        <f t="shared" si="14"/>
        <v>10226.634820784633</v>
      </c>
      <c r="I46" s="354">
        <f t="shared" si="14"/>
        <v>9926.4815472970567</v>
      </c>
      <c r="J46" s="354">
        <f t="shared" si="14"/>
        <v>7950.1723424866741</v>
      </c>
      <c r="K46" s="354">
        <f t="shared" si="14"/>
        <v>6489.9752408023596</v>
      </c>
      <c r="L46" s="354">
        <f t="shared" si="14"/>
        <v>7896.7837217306515</v>
      </c>
      <c r="M46" s="354">
        <f t="shared" si="14"/>
        <v>10173.055676642232</v>
      </c>
      <c r="N46" s="354">
        <f t="shared" si="14"/>
        <v>9966.6665656444929</v>
      </c>
      <c r="O46" s="354">
        <f t="shared" si="14"/>
        <v>10714.927701849076</v>
      </c>
      <c r="P46" s="354">
        <f t="shared" si="14"/>
        <v>15683.3933922379</v>
      </c>
      <c r="Q46" s="354">
        <f t="shared" si="14"/>
        <v>22197.988172712023</v>
      </c>
    </row>
    <row r="47" spans="1:17" s="283" customFormat="1" ht="40">
      <c r="A47" s="365" t="s">
        <v>532</v>
      </c>
      <c r="B47" s="364" t="s">
        <v>531</v>
      </c>
      <c r="C47" s="85" t="s">
        <v>530</v>
      </c>
      <c r="D47" s="354">
        <v>2975.9</v>
      </c>
      <c r="E47" s="205">
        <v>3020.7</v>
      </c>
      <c r="F47" s="205">
        <v>3685.8</v>
      </c>
      <c r="G47" s="205">
        <v>4223.6000000000004</v>
      </c>
      <c r="H47" s="205">
        <v>4234.6000000000004</v>
      </c>
      <c r="I47" s="205">
        <v>4396.1000000000004</v>
      </c>
      <c r="J47" s="205">
        <v>3550.2</v>
      </c>
      <c r="K47" s="205">
        <v>2588.8000000000002</v>
      </c>
      <c r="L47" s="205">
        <v>2286.9</v>
      </c>
      <c r="M47" s="205">
        <v>2736.9</v>
      </c>
      <c r="N47" s="205">
        <v>3785</v>
      </c>
      <c r="O47" s="205">
        <v>5034.8</v>
      </c>
      <c r="P47" s="205">
        <v>6553.5</v>
      </c>
      <c r="Q47" s="205">
        <v>8573.2000000000007</v>
      </c>
    </row>
    <row r="48" spans="1:17" s="283" customFormat="1" ht="12.75" customHeight="1">
      <c r="A48" s="363"/>
      <c r="B48" s="347" t="s">
        <v>529</v>
      </c>
      <c r="C48" s="85" t="s">
        <v>528</v>
      </c>
      <c r="D48" s="354">
        <v>8393.9</v>
      </c>
      <c r="E48" s="205">
        <v>8052.4</v>
      </c>
      <c r="F48" s="205">
        <v>9601.9</v>
      </c>
      <c r="G48" s="205">
        <v>10081.799999999999</v>
      </c>
      <c r="H48" s="205">
        <v>10089.4</v>
      </c>
      <c r="I48" s="205">
        <v>9986.7000000000007</v>
      </c>
      <c r="J48" s="205">
        <v>9002</v>
      </c>
      <c r="K48" s="205">
        <v>8257.1</v>
      </c>
      <c r="L48" s="205">
        <v>8321.1</v>
      </c>
      <c r="M48" s="205">
        <v>8735.7999999999993</v>
      </c>
      <c r="N48" s="205">
        <v>9347.6</v>
      </c>
      <c r="O48" s="205">
        <v>10105.1</v>
      </c>
      <c r="P48" s="205">
        <v>11457.3</v>
      </c>
      <c r="Q48" s="205">
        <v>13142.7</v>
      </c>
    </row>
    <row r="49" spans="1:17" s="283" customFormat="1" ht="20">
      <c r="A49" s="363"/>
      <c r="B49" s="347" t="s">
        <v>527</v>
      </c>
      <c r="C49" s="85" t="s">
        <v>526</v>
      </c>
      <c r="D49" s="354">
        <v>2550.5</v>
      </c>
      <c r="E49" s="205">
        <v>2933.7</v>
      </c>
      <c r="F49" s="205">
        <v>4200.2</v>
      </c>
      <c r="G49" s="205">
        <v>4890.2</v>
      </c>
      <c r="H49" s="205">
        <v>5173.6000000000004</v>
      </c>
      <c r="I49" s="205">
        <v>5042.8</v>
      </c>
      <c r="J49" s="205">
        <v>4559.3999999999996</v>
      </c>
      <c r="K49" s="205">
        <v>3736.5</v>
      </c>
      <c r="L49" s="205">
        <v>3990.1</v>
      </c>
      <c r="M49" s="205">
        <v>4426.7</v>
      </c>
      <c r="N49" s="205">
        <v>4508.7</v>
      </c>
      <c r="O49" s="205">
        <v>4941.2</v>
      </c>
      <c r="P49" s="205">
        <v>5471.8</v>
      </c>
      <c r="Q49" s="205">
        <v>5824.8</v>
      </c>
    </row>
    <row r="50" spans="1:17" s="283" customFormat="1" ht="20">
      <c r="A50" s="363"/>
      <c r="B50" s="347" t="s">
        <v>525</v>
      </c>
      <c r="C50" s="85" t="s">
        <v>524</v>
      </c>
      <c r="D50" s="354">
        <v>1256</v>
      </c>
      <c r="E50" s="205">
        <v>1650</v>
      </c>
      <c r="F50" s="205">
        <v>1950</v>
      </c>
      <c r="G50" s="205">
        <v>2250</v>
      </c>
      <c r="H50" s="205">
        <v>2391</v>
      </c>
      <c r="I50" s="205">
        <v>2365</v>
      </c>
      <c r="J50" s="205">
        <v>2918</v>
      </c>
      <c r="K50" s="205">
        <v>1716</v>
      </c>
      <c r="L50" s="205">
        <v>1694</v>
      </c>
      <c r="M50" s="205">
        <v>1982</v>
      </c>
      <c r="N50" s="205">
        <v>2187</v>
      </c>
      <c r="O50" s="205">
        <v>2387</v>
      </c>
      <c r="P50" s="205">
        <v>2622</v>
      </c>
      <c r="Q50" s="205">
        <v>2713</v>
      </c>
    </row>
    <row r="51" spans="1:17" s="283" customFormat="1" ht="30">
      <c r="A51" s="363"/>
      <c r="B51" s="361" t="s">
        <v>523</v>
      </c>
      <c r="C51" s="85" t="s">
        <v>254</v>
      </c>
      <c r="D51" s="205">
        <f>'a-6'!AL23</f>
        <v>105.27500000000003</v>
      </c>
      <c r="E51" s="205">
        <f>'a-6'!AL27</f>
        <v>398.9</v>
      </c>
      <c r="F51" s="205">
        <f>'a-6'!AL31</f>
        <v>344.75</v>
      </c>
      <c r="G51" s="205">
        <f>'a-6'!AL35</f>
        <v>515.77499999999998</v>
      </c>
      <c r="H51" s="205">
        <f>'a-6'!AL39</f>
        <v>651.07500000000005</v>
      </c>
      <c r="I51" s="205">
        <f>'a-6'!AL43</f>
        <v>725.72500000000014</v>
      </c>
      <c r="J51" s="205">
        <f>'a-6'!AL47</f>
        <v>912.17500000000007</v>
      </c>
      <c r="K51" s="205">
        <f>'a-6'!AL51</f>
        <v>615.44999999999993</v>
      </c>
      <c r="L51" s="205">
        <f>'a-6'!AL55</f>
        <v>673.07499999999993</v>
      </c>
      <c r="M51" s="205">
        <f>'a-6'!AL59</f>
        <v>931.4</v>
      </c>
      <c r="N51" s="205">
        <f>'a-6'!AL63</f>
        <v>1006.85</v>
      </c>
      <c r="O51" s="205">
        <f>'a-6'!AL67</f>
        <v>1428.9</v>
      </c>
      <c r="P51" s="205">
        <f>'a-6'!AL71</f>
        <v>1887.2750000000001</v>
      </c>
      <c r="Q51" s="205">
        <f>'a-6'!AL75</f>
        <v>2453.3250000000003</v>
      </c>
    </row>
    <row r="52" spans="1:17" s="283" customFormat="1" ht="10">
      <c r="A52" s="363"/>
      <c r="B52" s="347" t="s">
        <v>522</v>
      </c>
      <c r="C52" s="85" t="s">
        <v>491</v>
      </c>
      <c r="D52" s="205">
        <f t="shared" ref="D52:Q52" si="15">D118</f>
        <v>2255.2999999999993</v>
      </c>
      <c r="E52" s="205">
        <f t="shared" si="15"/>
        <v>2580.9265461177856</v>
      </c>
      <c r="F52" s="205">
        <f t="shared" si="15"/>
        <v>2836.013779573535</v>
      </c>
      <c r="G52" s="205">
        <f t="shared" si="15"/>
        <v>3110.4598056268533</v>
      </c>
      <c r="H52" s="205">
        <f t="shared" si="15"/>
        <v>3310.6483254179429</v>
      </c>
      <c r="I52" s="205">
        <f t="shared" si="15"/>
        <v>3391.0984063044043</v>
      </c>
      <c r="J52" s="205">
        <f t="shared" si="15"/>
        <v>3196.4300830770562</v>
      </c>
      <c r="K52" s="205">
        <f t="shared" si="15"/>
        <v>2732.1448020057765</v>
      </c>
      <c r="L52" s="205">
        <f t="shared" si="15"/>
        <v>2781.767099220604</v>
      </c>
      <c r="M52" s="205">
        <f t="shared" si="15"/>
        <v>2821.6527802450164</v>
      </c>
      <c r="N52" s="205">
        <f t="shared" si="15"/>
        <v>2791.61701263123</v>
      </c>
      <c r="O52" s="205">
        <f t="shared" si="15"/>
        <v>2729.0950415960883</v>
      </c>
      <c r="P52" s="205">
        <f t="shared" si="15"/>
        <v>2678.1079031864629</v>
      </c>
      <c r="Q52" s="205">
        <f t="shared" si="15"/>
        <v>3036.7642433702945</v>
      </c>
    </row>
    <row r="53" spans="1:17" s="283" customFormat="1" ht="10">
      <c r="A53" s="363"/>
      <c r="B53" s="361" t="s">
        <v>521</v>
      </c>
      <c r="C53" s="360" t="s">
        <v>480</v>
      </c>
      <c r="D53" s="354"/>
      <c r="E53" s="354"/>
      <c r="F53" s="354">
        <f t="shared" ref="F53:Q53" si="16">F134</f>
        <v>84.4</v>
      </c>
      <c r="G53" s="354">
        <f t="shared" si="16"/>
        <v>28.1</v>
      </c>
      <c r="H53" s="354">
        <f t="shared" si="16"/>
        <v>21</v>
      </c>
      <c r="I53" s="354">
        <f t="shared" si="16"/>
        <v>7.0019999999999998</v>
      </c>
      <c r="J53" s="354">
        <f t="shared" si="16"/>
        <v>37.759</v>
      </c>
      <c r="K53" s="354">
        <f t="shared" si="16"/>
        <v>45.292000000000002</v>
      </c>
      <c r="L53" s="354">
        <f t="shared" si="16"/>
        <v>683.35699999999997</v>
      </c>
      <c r="M53" s="354">
        <f t="shared" si="16"/>
        <v>366.22500000000002</v>
      </c>
      <c r="N53" s="354">
        <f t="shared" si="16"/>
        <v>40.648000000000003</v>
      </c>
      <c r="O53" s="354">
        <f t="shared" si="16"/>
        <v>12.196999999999999</v>
      </c>
      <c r="P53" s="354">
        <f t="shared" si="16"/>
        <v>7.5549999999999997</v>
      </c>
      <c r="Q53" s="354">
        <f t="shared" si="16"/>
        <v>15.279</v>
      </c>
    </row>
    <row r="54" spans="1:17" s="359" customFormat="1" ht="10">
      <c r="A54" s="362"/>
      <c r="B54" s="361" t="s">
        <v>520</v>
      </c>
      <c r="C54" s="360" t="s">
        <v>468</v>
      </c>
      <c r="D54" s="354">
        <f>D150</f>
        <v>117</v>
      </c>
      <c r="E54" s="354">
        <v>229.6</v>
      </c>
      <c r="F54" s="354">
        <f t="shared" ref="F54:Q54" si="17">F150</f>
        <v>243</v>
      </c>
      <c r="G54" s="354">
        <f t="shared" si="17"/>
        <v>283.5</v>
      </c>
      <c r="H54" s="354">
        <f t="shared" si="17"/>
        <v>339</v>
      </c>
      <c r="I54" s="354">
        <f t="shared" si="17"/>
        <v>366.2</v>
      </c>
      <c r="J54" s="354">
        <f t="shared" si="17"/>
        <v>385.3</v>
      </c>
      <c r="K54" s="354">
        <f t="shared" si="17"/>
        <v>329.1</v>
      </c>
      <c r="L54" s="354">
        <f t="shared" si="17"/>
        <v>318.60000000000002</v>
      </c>
      <c r="M54" s="354">
        <f t="shared" si="17"/>
        <v>286.3</v>
      </c>
      <c r="N54" s="354">
        <f t="shared" si="17"/>
        <v>377.9</v>
      </c>
      <c r="O54" s="354">
        <f t="shared" si="17"/>
        <v>445.20000000000005</v>
      </c>
      <c r="P54" s="354">
        <f t="shared" si="17"/>
        <v>403.5</v>
      </c>
      <c r="Q54" s="354">
        <f t="shared" si="17"/>
        <v>462.6</v>
      </c>
    </row>
    <row r="55" spans="1:17" s="357" customFormat="1" ht="30">
      <c r="A55" s="358"/>
      <c r="B55" s="270" t="s">
        <v>519</v>
      </c>
      <c r="C55" s="88" t="s">
        <v>518</v>
      </c>
      <c r="D55" s="205">
        <f t="shared" ref="D55:Q55" si="18">D47+D48+D49+D51+D52+D53+D54</f>
        <v>16397.875</v>
      </c>
      <c r="E55" s="205">
        <f t="shared" si="18"/>
        <v>17216.226546117781</v>
      </c>
      <c r="F55" s="205">
        <f t="shared" si="18"/>
        <v>20996.063779573538</v>
      </c>
      <c r="G55" s="205">
        <f t="shared" si="18"/>
        <v>23133.43480562685</v>
      </c>
      <c r="H55" s="205">
        <f t="shared" si="18"/>
        <v>23819.323325417943</v>
      </c>
      <c r="I55" s="205">
        <f t="shared" si="18"/>
        <v>23915.625406304407</v>
      </c>
      <c r="J55" s="205">
        <f t="shared" si="18"/>
        <v>21643.264083077051</v>
      </c>
      <c r="K55" s="205">
        <f t="shared" si="18"/>
        <v>18304.386802005778</v>
      </c>
      <c r="L55" s="205">
        <f t="shared" si="18"/>
        <v>19054.899099220605</v>
      </c>
      <c r="M55" s="205">
        <f t="shared" si="18"/>
        <v>20304.977780245015</v>
      </c>
      <c r="N55" s="205">
        <f t="shared" si="18"/>
        <v>21858.315012631232</v>
      </c>
      <c r="O55" s="205">
        <f t="shared" si="18"/>
        <v>24696.492041596091</v>
      </c>
      <c r="P55" s="205">
        <f t="shared" si="18"/>
        <v>28459.037903186465</v>
      </c>
      <c r="Q55" s="205">
        <f t="shared" si="18"/>
        <v>33508.668243370295</v>
      </c>
    </row>
    <row r="56" spans="1:17" s="357" customFormat="1" ht="40">
      <c r="A56" s="269" t="s">
        <v>517</v>
      </c>
      <c r="B56" s="269" t="s">
        <v>516</v>
      </c>
      <c r="C56" s="88" t="s">
        <v>515</v>
      </c>
      <c r="D56" s="354">
        <f t="shared" ref="D56:Q56" si="19">D55-D20</f>
        <v>-521.89999999999782</v>
      </c>
      <c r="E56" s="354">
        <f t="shared" si="19"/>
        <v>-1910.3580326632</v>
      </c>
      <c r="F56" s="354">
        <f t="shared" si="19"/>
        <v>-934.64492361689554</v>
      </c>
      <c r="G56" s="354">
        <f t="shared" si="19"/>
        <v>-641.38968658585509</v>
      </c>
      <c r="H56" s="354">
        <f t="shared" si="19"/>
        <v>-2230.0697056400641</v>
      </c>
      <c r="I56" s="354">
        <f t="shared" si="19"/>
        <v>-2357.9657150683197</v>
      </c>
      <c r="J56" s="354">
        <f t="shared" si="19"/>
        <v>-1070.9436237456794</v>
      </c>
      <c r="K56" s="354">
        <f t="shared" si="19"/>
        <v>-604.93394436408198</v>
      </c>
      <c r="L56" s="354">
        <f t="shared" si="19"/>
        <v>-780.18459183728919</v>
      </c>
      <c r="M56" s="354">
        <f t="shared" si="19"/>
        <v>-2820.8173268145074</v>
      </c>
      <c r="N56" s="354">
        <f t="shared" si="19"/>
        <v>-3218.8473993470398</v>
      </c>
      <c r="O56" s="354">
        <f t="shared" si="19"/>
        <v>-1668.2809983992738</v>
      </c>
      <c r="P56" s="354">
        <f t="shared" si="19"/>
        <v>-3605.7731348077104</v>
      </c>
      <c r="Q56" s="354">
        <f t="shared" si="19"/>
        <v>-7777.1039945131561</v>
      </c>
    </row>
    <row r="57" spans="1:17" s="303" customFormat="1" ht="11" thickBot="1">
      <c r="A57" s="355"/>
      <c r="B57" s="356"/>
      <c r="C57" s="209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</row>
    <row r="58" spans="1:17" s="283" customFormat="1" ht="11" thickTop="1">
      <c r="B58" s="347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1:17" s="283" customFormat="1" ht="10">
      <c r="B59" s="345"/>
      <c r="C59" s="85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</row>
    <row r="60" spans="1:17" s="283" customFormat="1" ht="10">
      <c r="C60" s="343"/>
      <c r="D60" s="351"/>
      <c r="E60" s="350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</row>
    <row r="61" spans="1:17" s="283" customFormat="1" ht="10">
      <c r="B61" s="345"/>
      <c r="C61" s="79"/>
      <c r="D61" s="351"/>
      <c r="E61" s="350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53"/>
    </row>
    <row r="62" spans="1:17" s="283" customFormat="1" ht="10">
      <c r="B62" s="345"/>
      <c r="C62" s="228"/>
      <c r="D62" s="351"/>
      <c r="E62" s="350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</row>
    <row r="63" spans="1:17" s="283" customFormat="1" ht="10">
      <c r="B63" s="347"/>
      <c r="C63" s="79"/>
      <c r="D63" s="351"/>
      <c r="E63" s="350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</row>
    <row r="64" spans="1:17" s="283" customFormat="1" ht="10">
      <c r="B64" s="347"/>
      <c r="C64" s="79"/>
      <c r="D64" s="351"/>
      <c r="E64" s="350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</row>
    <row r="65" spans="2:17" s="283" customFormat="1" ht="10">
      <c r="B65" s="347"/>
      <c r="C65" s="352"/>
      <c r="D65" s="351"/>
      <c r="E65" s="350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</row>
    <row r="66" spans="2:17" s="283" customFormat="1" ht="10">
      <c r="B66" s="347"/>
      <c r="C66" s="228"/>
      <c r="D66" s="351"/>
      <c r="E66" s="350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</row>
    <row r="67" spans="2:17" s="283" customFormat="1" ht="10">
      <c r="B67" s="345"/>
      <c r="C67" s="228"/>
      <c r="D67" s="351"/>
      <c r="E67" s="350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342"/>
    </row>
    <row r="68" spans="2:17" s="283" customFormat="1" ht="10">
      <c r="B68" s="345"/>
      <c r="C68" s="228"/>
      <c r="D68" s="351"/>
      <c r="E68" s="350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</row>
    <row r="69" spans="2:17" s="283" customFormat="1" ht="10">
      <c r="B69" s="345"/>
      <c r="C69" s="228"/>
      <c r="D69" s="351"/>
      <c r="E69" s="350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</row>
    <row r="70" spans="2:17" s="348" customFormat="1" ht="10">
      <c r="B70" s="349"/>
      <c r="C70" s="79"/>
      <c r="D70" s="344"/>
      <c r="E70" s="343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</row>
    <row r="71" spans="2:17" s="283" customFormat="1" ht="10">
      <c r="B71" s="345"/>
      <c r="C71" s="79"/>
      <c r="D71" s="344"/>
      <c r="E71" s="343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</row>
    <row r="72" spans="2:17" s="283" customFormat="1" ht="10">
      <c r="B72" s="347"/>
      <c r="C72" s="79"/>
      <c r="D72" s="344"/>
      <c r="E72" s="343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</row>
    <row r="73" spans="2:17" s="283" customFormat="1" ht="10">
      <c r="B73" s="347"/>
      <c r="C73" s="228"/>
      <c r="D73" s="344"/>
      <c r="E73" s="343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</row>
    <row r="74" spans="2:17" s="283" customFormat="1" ht="10">
      <c r="B74" s="345"/>
      <c r="C74" s="79"/>
      <c r="D74" s="344"/>
      <c r="E74" s="343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</row>
    <row r="75" spans="2:17" s="283" customFormat="1" ht="10">
      <c r="B75" s="345"/>
      <c r="C75" s="79"/>
      <c r="D75" s="344"/>
      <c r="E75" s="343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</row>
    <row r="76" spans="2:17" s="283" customFormat="1" ht="10">
      <c r="B76" s="345"/>
      <c r="C76" s="228"/>
      <c r="D76" s="344"/>
      <c r="E76" s="343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</row>
    <row r="77" spans="2:17" s="283" customFormat="1" ht="10">
      <c r="B77" s="345"/>
      <c r="C77" s="228"/>
      <c r="D77" s="344"/>
      <c r="E77" s="343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</row>
    <row r="78" spans="2:17" s="283" customFormat="1" ht="10">
      <c r="B78" s="345"/>
      <c r="C78" s="79"/>
      <c r="D78" s="344"/>
      <c r="E78" s="343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</row>
    <row r="79" spans="2:17" s="283" customFormat="1" ht="10">
      <c r="B79" s="345"/>
      <c r="C79" s="228"/>
      <c r="D79" s="344"/>
      <c r="E79" s="343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</row>
    <row r="80" spans="2:17" s="283" customFormat="1" ht="10">
      <c r="B80" s="345"/>
      <c r="C80" s="79"/>
      <c r="D80" s="344"/>
      <c r="E80" s="343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</row>
    <row r="81" spans="2:18" s="283" customFormat="1" ht="10">
      <c r="B81" s="345"/>
      <c r="C81" s="79"/>
      <c r="D81" s="344"/>
      <c r="E81" s="343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</row>
    <row r="82" spans="2:18" s="283" customFormat="1" ht="10">
      <c r="B82" s="345"/>
      <c r="C82" s="79"/>
      <c r="D82" s="344"/>
      <c r="E82" s="343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</row>
    <row r="83" spans="2:18" s="283" customFormat="1" ht="10">
      <c r="B83" s="345"/>
      <c r="C83" s="79"/>
      <c r="D83" s="344"/>
      <c r="E83" s="343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</row>
    <row r="84" spans="2:18" s="283" customFormat="1" ht="10">
      <c r="B84" s="345"/>
      <c r="C84" s="346"/>
      <c r="D84" s="344"/>
      <c r="E84" s="343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</row>
    <row r="85" spans="2:18" s="283" customFormat="1" ht="10">
      <c r="B85" s="345"/>
      <c r="C85" s="79"/>
      <c r="D85" s="344"/>
      <c r="E85" s="343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342"/>
    </row>
    <row r="86" spans="2:18" s="283" customFormat="1" ht="10">
      <c r="B86" s="345"/>
      <c r="C86" s="79"/>
      <c r="D86" s="344"/>
      <c r="E86" s="343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</row>
    <row r="87" spans="2:18" s="283" customFormat="1" ht="10">
      <c r="B87" s="345"/>
      <c r="C87" s="228"/>
      <c r="D87" s="344"/>
      <c r="E87" s="343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</row>
    <row r="88" spans="2:18" s="283" customFormat="1" ht="10">
      <c r="B88" s="345"/>
      <c r="C88" s="228"/>
      <c r="D88" s="344"/>
      <c r="E88" s="343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</row>
    <row r="89" spans="2:18" s="283" customFormat="1" ht="10">
      <c r="B89" s="294"/>
      <c r="C89" s="284"/>
      <c r="D89" s="341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</row>
    <row r="90" spans="2:18" s="283" customFormat="1" ht="10">
      <c r="B90" s="294"/>
      <c r="C90" s="284"/>
      <c r="D90" s="341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4"/>
      <c r="P90" s="284"/>
      <c r="Q90" s="284"/>
    </row>
    <row r="91" spans="2:18" s="283" customFormat="1" ht="10">
      <c r="B91" s="294" t="s">
        <v>514</v>
      </c>
      <c r="C91" s="284"/>
      <c r="D91" s="286"/>
      <c r="E91" s="285"/>
      <c r="F91" s="284"/>
      <c r="G91" s="284"/>
      <c r="H91" s="284"/>
      <c r="I91" s="284"/>
      <c r="J91" s="284"/>
      <c r="K91" s="284"/>
      <c r="L91" s="284"/>
      <c r="M91" s="284"/>
      <c r="N91" s="284"/>
      <c r="O91" s="284"/>
      <c r="P91" s="284"/>
      <c r="Q91" s="284"/>
    </row>
    <row r="92" spans="2:18" s="283" customFormat="1" ht="10">
      <c r="B92" s="340" t="s">
        <v>513</v>
      </c>
      <c r="C92" s="326"/>
      <c r="D92" s="325"/>
      <c r="E92" s="324"/>
      <c r="F92" s="326"/>
      <c r="G92" s="326"/>
      <c r="H92" s="326"/>
      <c r="I92" s="326"/>
      <c r="J92" s="326"/>
      <c r="K92" s="326"/>
      <c r="L92" s="326"/>
      <c r="M92" s="326"/>
      <c r="N92" s="326"/>
      <c r="O92" s="326"/>
      <c r="P92" s="326"/>
      <c r="Q92" s="326"/>
    </row>
    <row r="93" spans="2:18" s="283" customFormat="1" ht="20">
      <c r="B93" s="294" t="s">
        <v>512</v>
      </c>
      <c r="C93" s="336" t="s">
        <v>430</v>
      </c>
      <c r="D93" s="335">
        <f>'a-10'!D13</f>
        <v>9144.5</v>
      </c>
      <c r="E93" s="335">
        <f>'a-10'!E13</f>
        <v>10639.400000000001</v>
      </c>
      <c r="F93" s="335">
        <f>'a-10'!F13</f>
        <v>11647</v>
      </c>
      <c r="G93" s="335">
        <f>'a-10'!G13</f>
        <v>12426.199999999999</v>
      </c>
      <c r="H93" s="335">
        <f>'a-10'!H13</f>
        <v>12829.7</v>
      </c>
      <c r="I93" s="335">
        <f>'a-10'!I13</f>
        <v>12244.4</v>
      </c>
      <c r="J93" s="335">
        <f>'a-10'!J13</f>
        <v>10354.500000000002</v>
      </c>
      <c r="K93" s="335">
        <f>'a-10'!K13</f>
        <v>8803.1</v>
      </c>
      <c r="L93" s="335">
        <f>'a-10'!L13</f>
        <v>9062.5000000000018</v>
      </c>
      <c r="M93" s="335">
        <f>'a-10'!M13</f>
        <v>9192.7999999999993</v>
      </c>
      <c r="N93" s="335">
        <f>'a-10'!N13</f>
        <v>8733.0999999999985</v>
      </c>
      <c r="O93" s="335">
        <f>'a-10'!O13</f>
        <v>8944.6</v>
      </c>
      <c r="P93" s="335">
        <f>'a-10'!P13</f>
        <v>9204.6</v>
      </c>
      <c r="Q93" s="335">
        <f>'a-10'!Q13</f>
        <v>10190</v>
      </c>
      <c r="R93" s="315"/>
    </row>
    <row r="94" spans="2:18" s="283" customFormat="1" ht="10">
      <c r="B94" s="294" t="s">
        <v>493</v>
      </c>
      <c r="D94" s="335">
        <v>9144.5</v>
      </c>
      <c r="E94" s="339">
        <f t="shared" ref="E94:Q94" si="20">(0.25)*LN(D93)+(0.75)*LN(E93)</f>
        <v>9.2344664989072776</v>
      </c>
      <c r="F94" s="339">
        <f t="shared" si="20"/>
        <v>9.3401827789090284</v>
      </c>
      <c r="G94" s="339">
        <f t="shared" si="20"/>
        <v>9.4113727981093085</v>
      </c>
      <c r="H94" s="339">
        <f t="shared" si="20"/>
        <v>9.4515291624241726</v>
      </c>
      <c r="I94" s="339">
        <f t="shared" si="20"/>
        <v>9.4244974951054346</v>
      </c>
      <c r="J94" s="339">
        <f t="shared" si="20"/>
        <v>9.2870883572572502</v>
      </c>
      <c r="K94" s="339">
        <f t="shared" si="20"/>
        <v>9.1234385300729866</v>
      </c>
      <c r="L94" s="339">
        <f t="shared" si="20"/>
        <v>9.1046400271622225</v>
      </c>
      <c r="M94" s="339">
        <f t="shared" si="20"/>
        <v>9.1226069607483016</v>
      </c>
      <c r="N94" s="339">
        <f t="shared" si="20"/>
        <v>9.087700724361035</v>
      </c>
      <c r="O94" s="339">
        <f t="shared" si="20"/>
        <v>9.092822878709395</v>
      </c>
      <c r="P94" s="339">
        <f t="shared" si="20"/>
        <v>9.1202952978649758</v>
      </c>
      <c r="Q94" s="339">
        <f t="shared" si="20"/>
        <v>9.2037362541822745</v>
      </c>
      <c r="R94" s="315"/>
    </row>
    <row r="95" spans="2:18" s="283" customFormat="1" ht="20">
      <c r="B95" s="294" t="s">
        <v>511</v>
      </c>
      <c r="C95" s="284" t="s">
        <v>510</v>
      </c>
      <c r="D95" s="295">
        <f>D93</f>
        <v>9144.5</v>
      </c>
      <c r="E95" s="285">
        <f t="shared" ref="E95:Q95" si="21">EXP(E94)</f>
        <v>10244.195166325164</v>
      </c>
      <c r="F95" s="285">
        <f t="shared" si="21"/>
        <v>11386.489260077171</v>
      </c>
      <c r="G95" s="285">
        <f t="shared" si="21"/>
        <v>12226.64417459715</v>
      </c>
      <c r="H95" s="285">
        <f t="shared" si="21"/>
        <v>12727.6129780348</v>
      </c>
      <c r="I95" s="285">
        <f t="shared" si="21"/>
        <v>12388.172863510948</v>
      </c>
      <c r="J95" s="285">
        <f t="shared" si="21"/>
        <v>10797.699241869042</v>
      </c>
      <c r="K95" s="285">
        <f t="shared" si="21"/>
        <v>9167.6707932848512</v>
      </c>
      <c r="L95" s="285">
        <f t="shared" si="21"/>
        <v>8996.9420572132822</v>
      </c>
      <c r="M95" s="285">
        <f t="shared" si="21"/>
        <v>9160.0504083526521</v>
      </c>
      <c r="N95" s="285">
        <f t="shared" si="21"/>
        <v>8845.8236649987648</v>
      </c>
      <c r="O95" s="285">
        <f t="shared" si="21"/>
        <v>8891.2495791030833</v>
      </c>
      <c r="P95" s="285">
        <f t="shared" si="21"/>
        <v>9138.8999156373975</v>
      </c>
      <c r="Q95" s="285">
        <f t="shared" si="21"/>
        <v>9934.1764146542246</v>
      </c>
      <c r="R95" s="315"/>
    </row>
    <row r="96" spans="2:18" s="283" customFormat="1" ht="10">
      <c r="B96" s="294"/>
      <c r="C96" s="284"/>
      <c r="D96" s="295"/>
      <c r="E96" s="285"/>
      <c r="F96" s="284"/>
      <c r="G96" s="284"/>
      <c r="H96" s="284"/>
      <c r="I96" s="284"/>
      <c r="J96" s="284"/>
      <c r="K96" s="284"/>
      <c r="L96" s="284"/>
      <c r="M96" s="284"/>
      <c r="N96" s="284"/>
      <c r="O96" s="284"/>
      <c r="P96" s="284"/>
      <c r="Q96" s="284"/>
      <c r="R96" s="315"/>
    </row>
    <row r="97" spans="2:18" s="283" customFormat="1" ht="20">
      <c r="B97" s="294" t="s">
        <v>509</v>
      </c>
      <c r="C97" s="336" t="s">
        <v>440</v>
      </c>
      <c r="D97" s="338">
        <v>8102.1</v>
      </c>
      <c r="E97" s="336">
        <v>9082.6</v>
      </c>
      <c r="F97" s="336">
        <v>10071.700000000001</v>
      </c>
      <c r="G97" s="336">
        <v>10919.8</v>
      </c>
      <c r="H97" s="336">
        <v>10990.1</v>
      </c>
      <c r="I97" s="336">
        <v>10912.2</v>
      </c>
      <c r="J97" s="336">
        <v>9537.7999999999993</v>
      </c>
      <c r="K97" s="336">
        <v>7849.6</v>
      </c>
      <c r="L97" s="336">
        <v>8402.9</v>
      </c>
      <c r="M97" s="336">
        <v>8830.7000000000007</v>
      </c>
      <c r="N97" s="336">
        <v>8773.9</v>
      </c>
      <c r="O97" s="336">
        <v>9101.6</v>
      </c>
      <c r="P97" s="336">
        <v>9476.2999999999993</v>
      </c>
      <c r="Q97" s="336">
        <v>10484</v>
      </c>
      <c r="R97" s="315"/>
    </row>
    <row r="98" spans="2:18" s="283" customFormat="1" ht="10">
      <c r="B98" s="294" t="s">
        <v>493</v>
      </c>
      <c r="C98" s="284"/>
      <c r="D98" s="295"/>
      <c r="E98" s="285">
        <f t="shared" ref="E98:Q98" si="22">(0.75)*LN(E97)+(0.25)*LN(D97)</f>
        <v>9.0855564722438533</v>
      </c>
      <c r="F98" s="284">
        <f t="shared" si="22"/>
        <v>9.1916425358571683</v>
      </c>
      <c r="G98" s="285">
        <f t="shared" si="22"/>
        <v>9.2781208980187699</v>
      </c>
      <c r="H98" s="284">
        <f t="shared" si="22"/>
        <v>9.3031458434312224</v>
      </c>
      <c r="I98" s="285">
        <f t="shared" si="22"/>
        <v>9.2994150679051071</v>
      </c>
      <c r="J98" s="284">
        <f t="shared" si="22"/>
        <v>9.1966727745015824</v>
      </c>
      <c r="K98" s="285">
        <f t="shared" si="22"/>
        <v>9.0169179230185694</v>
      </c>
      <c r="L98" s="284">
        <f t="shared" si="22"/>
        <v>9.0193035860253072</v>
      </c>
      <c r="M98" s="285">
        <f t="shared" si="22"/>
        <v>9.0735752150769819</v>
      </c>
      <c r="N98" s="284">
        <f t="shared" si="22"/>
        <v>9.0811499046767512</v>
      </c>
      <c r="O98" s="285">
        <f t="shared" si="22"/>
        <v>9.1070382970068735</v>
      </c>
      <c r="P98" s="284">
        <f t="shared" si="22"/>
        <v>9.1464632930853966</v>
      </c>
      <c r="Q98" s="285">
        <f t="shared" si="22"/>
        <v>9.2323414792588139</v>
      </c>
      <c r="R98" s="315"/>
    </row>
    <row r="99" spans="2:18" s="283" customFormat="1" ht="20">
      <c r="B99" s="294" t="s">
        <v>508</v>
      </c>
      <c r="C99" s="284"/>
      <c r="D99" s="295"/>
      <c r="E99" s="285">
        <f t="shared" ref="E99:Q99" si="23">EXP(E98)</f>
        <v>8826.8763100895194</v>
      </c>
      <c r="F99" s="285">
        <f t="shared" si="23"/>
        <v>9814.7588400367113</v>
      </c>
      <c r="G99" s="285">
        <f t="shared" si="23"/>
        <v>10701.304169458752</v>
      </c>
      <c r="H99" s="285">
        <f t="shared" si="23"/>
        <v>10972.482683969438</v>
      </c>
      <c r="I99" s="285">
        <f t="shared" si="23"/>
        <v>10931.623080508314</v>
      </c>
      <c r="J99" s="285">
        <f t="shared" si="23"/>
        <v>9864.2538006057021</v>
      </c>
      <c r="K99" s="285">
        <f t="shared" si="23"/>
        <v>8241.3374614801687</v>
      </c>
      <c r="L99" s="285">
        <f t="shared" si="23"/>
        <v>8261.0219863734656</v>
      </c>
      <c r="M99" s="285">
        <f t="shared" si="23"/>
        <v>8721.7502637083926</v>
      </c>
      <c r="N99" s="285">
        <f t="shared" si="23"/>
        <v>8788.0656569070034</v>
      </c>
      <c r="O99" s="285">
        <f t="shared" si="23"/>
        <v>9018.5450465876656</v>
      </c>
      <c r="P99" s="285">
        <f t="shared" si="23"/>
        <v>9381.2030723245007</v>
      </c>
      <c r="Q99" s="285">
        <f t="shared" si="23"/>
        <v>10222.449163838523</v>
      </c>
      <c r="R99" s="315"/>
    </row>
    <row r="100" spans="2:18" s="283" customFormat="1" ht="10">
      <c r="B100" s="294"/>
      <c r="C100" s="284"/>
      <c r="D100" s="29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315"/>
    </row>
    <row r="101" spans="2:18" s="283" customFormat="1" ht="20">
      <c r="B101" s="294" t="s">
        <v>507</v>
      </c>
      <c r="C101" s="336" t="s">
        <v>424</v>
      </c>
      <c r="D101" s="335">
        <f>'a-10'!D18</f>
        <v>53.7</v>
      </c>
      <c r="E101" s="335">
        <f>'a-10'!E18</f>
        <v>100.4</v>
      </c>
      <c r="F101" s="335">
        <f>'a-10'!F18</f>
        <v>124.5</v>
      </c>
      <c r="G101" s="335">
        <f>'a-10'!G18</f>
        <v>203</v>
      </c>
      <c r="H101" s="335">
        <f>'a-10'!H18</f>
        <v>195</v>
      </c>
      <c r="I101" s="335">
        <f>'a-10'!I18</f>
        <v>235.9</v>
      </c>
      <c r="J101" s="335">
        <f>'a-10'!J18</f>
        <v>229.5</v>
      </c>
      <c r="K101" s="335">
        <f>'a-10'!K18</f>
        <v>173.2</v>
      </c>
      <c r="L101" s="335">
        <f>'a-10'!L18</f>
        <v>249.3</v>
      </c>
      <c r="M101" s="335">
        <f>'a-10'!M18</f>
        <v>311</v>
      </c>
      <c r="N101" s="335">
        <f>'a-10'!N18</f>
        <v>365.8</v>
      </c>
      <c r="O101" s="335">
        <f>'a-10'!O18</f>
        <v>496.9</v>
      </c>
      <c r="P101" s="335">
        <f>'a-10'!P18</f>
        <v>605.70000000000005</v>
      </c>
      <c r="Q101" s="335">
        <f>'a-10'!Q18</f>
        <v>586</v>
      </c>
      <c r="R101" s="315"/>
    </row>
    <row r="102" spans="2:18" s="283" customFormat="1" ht="10">
      <c r="B102" s="294" t="s">
        <v>493</v>
      </c>
      <c r="C102" s="284"/>
      <c r="D102" s="295"/>
      <c r="E102" s="285">
        <f t="shared" ref="E102:Q102" si="24">(0.75)*LN(E101)+(0.25)*LN(D101)</f>
        <v>4.4527249058219267</v>
      </c>
      <c r="F102" s="285">
        <f t="shared" si="24"/>
        <v>4.7705198387429792</v>
      </c>
      <c r="G102" s="285">
        <f t="shared" si="24"/>
        <v>5.1909809132575315</v>
      </c>
      <c r="H102" s="285">
        <f t="shared" si="24"/>
        <v>5.2830511636832567</v>
      </c>
      <c r="I102" s="285">
        <f t="shared" si="24"/>
        <v>5.4158058794511588</v>
      </c>
      <c r="J102" s="285">
        <f t="shared" si="24"/>
        <v>5.4427792687288568</v>
      </c>
      <c r="K102" s="285">
        <f t="shared" si="24"/>
        <v>5.2248110044714009</v>
      </c>
      <c r="L102" s="285">
        <f t="shared" si="24"/>
        <v>5.4276044919292179</v>
      </c>
      <c r="M102" s="285">
        <f t="shared" si="24"/>
        <v>5.6845089317668034</v>
      </c>
      <c r="N102" s="285">
        <f t="shared" si="24"/>
        <v>5.8615132800123826</v>
      </c>
      <c r="O102" s="285">
        <f t="shared" si="24"/>
        <v>6.1318132829453971</v>
      </c>
      <c r="P102" s="285">
        <f t="shared" si="24"/>
        <v>6.356885810142245</v>
      </c>
      <c r="Q102" s="285">
        <f t="shared" si="24"/>
        <v>6.3815860456794855</v>
      </c>
      <c r="R102" s="315"/>
    </row>
    <row r="103" spans="2:18" s="283" customFormat="1" ht="20">
      <c r="B103" s="294" t="s">
        <v>506</v>
      </c>
      <c r="C103" s="85" t="s">
        <v>505</v>
      </c>
      <c r="D103" s="314">
        <v>53.7</v>
      </c>
      <c r="E103" s="285">
        <f t="shared" ref="E103:Q103" si="25">EXP(E102)</f>
        <v>85.86058754418076</v>
      </c>
      <c r="F103" s="285">
        <f t="shared" si="25"/>
        <v>117.98055688674084</v>
      </c>
      <c r="G103" s="285">
        <f t="shared" si="25"/>
        <v>179.64468238444829</v>
      </c>
      <c r="H103" s="285">
        <f t="shared" si="25"/>
        <v>196.96994697679668</v>
      </c>
      <c r="I103" s="285">
        <f t="shared" si="25"/>
        <v>224.93374213821909</v>
      </c>
      <c r="J103" s="285">
        <f t="shared" si="25"/>
        <v>231.08353504631239</v>
      </c>
      <c r="K103" s="285">
        <f t="shared" si="25"/>
        <v>185.82604691499171</v>
      </c>
      <c r="L103" s="285">
        <f t="shared" si="25"/>
        <v>227.60336615538688</v>
      </c>
      <c r="M103" s="285">
        <f t="shared" si="25"/>
        <v>294.27330129312486</v>
      </c>
      <c r="N103" s="285">
        <f t="shared" si="25"/>
        <v>351.25528964158423</v>
      </c>
      <c r="O103" s="285">
        <f t="shared" si="25"/>
        <v>460.27000420324111</v>
      </c>
      <c r="P103" s="285">
        <f t="shared" si="25"/>
        <v>576.44838851511156</v>
      </c>
      <c r="Q103" s="285">
        <f t="shared" si="25"/>
        <v>590.86410233648098</v>
      </c>
      <c r="R103" s="315"/>
    </row>
    <row r="104" spans="2:18" s="283" customFormat="1" ht="20">
      <c r="B104" s="294" t="s">
        <v>504</v>
      </c>
      <c r="C104" s="311" t="s">
        <v>503</v>
      </c>
      <c r="D104" s="314">
        <v>53.7</v>
      </c>
      <c r="E104" s="285">
        <f t="shared" ref="E104:Q104" si="26">(0.75)*(E101)+(0.25)*(D101)</f>
        <v>88.725000000000009</v>
      </c>
      <c r="F104" s="285">
        <f t="shared" si="26"/>
        <v>118.47499999999999</v>
      </c>
      <c r="G104" s="285">
        <f t="shared" si="26"/>
        <v>183.375</v>
      </c>
      <c r="H104" s="285">
        <f t="shared" si="26"/>
        <v>197</v>
      </c>
      <c r="I104" s="285">
        <f t="shared" si="26"/>
        <v>225.67500000000001</v>
      </c>
      <c r="J104" s="285">
        <f t="shared" si="26"/>
        <v>231.1</v>
      </c>
      <c r="K104" s="285">
        <f t="shared" si="26"/>
        <v>187.27499999999998</v>
      </c>
      <c r="L104" s="285">
        <f t="shared" si="26"/>
        <v>230.27500000000003</v>
      </c>
      <c r="M104" s="285">
        <f t="shared" si="26"/>
        <v>295.57499999999999</v>
      </c>
      <c r="N104" s="285">
        <f t="shared" si="26"/>
        <v>352.1</v>
      </c>
      <c r="O104" s="285">
        <f t="shared" si="26"/>
        <v>464.12499999999994</v>
      </c>
      <c r="P104" s="285">
        <f t="shared" si="26"/>
        <v>578.5</v>
      </c>
      <c r="Q104" s="285">
        <f t="shared" si="26"/>
        <v>590.92499999999995</v>
      </c>
      <c r="R104" s="315"/>
    </row>
    <row r="105" spans="2:18" s="283" customFormat="1" ht="10">
      <c r="B105" s="294"/>
      <c r="C105" s="284"/>
      <c r="D105" s="314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315"/>
    </row>
    <row r="106" spans="2:18" s="283" customFormat="1" ht="10">
      <c r="B106" s="294" t="s">
        <v>502</v>
      </c>
      <c r="C106" s="337" t="s">
        <v>420</v>
      </c>
      <c r="D106" s="335">
        <v>96</v>
      </c>
      <c r="E106" s="337">
        <v>174.5</v>
      </c>
      <c r="F106" s="337">
        <v>264.2</v>
      </c>
      <c r="G106" s="337">
        <v>382.9</v>
      </c>
      <c r="H106" s="337">
        <v>515.20000000000005</v>
      </c>
      <c r="I106" s="337">
        <v>563.9</v>
      </c>
      <c r="J106" s="337">
        <v>608.1</v>
      </c>
      <c r="K106" s="337">
        <v>489.2</v>
      </c>
      <c r="L106" s="337">
        <v>488.8</v>
      </c>
      <c r="M106" s="337">
        <v>481.4</v>
      </c>
      <c r="N106" s="337">
        <v>493.7</v>
      </c>
      <c r="O106" s="337">
        <v>419.9</v>
      </c>
      <c r="P106" s="337">
        <v>404</v>
      </c>
      <c r="Q106" s="337">
        <v>358</v>
      </c>
      <c r="R106" s="315"/>
    </row>
    <row r="107" spans="2:18" s="283" customFormat="1" ht="10">
      <c r="B107" s="294" t="s">
        <v>501</v>
      </c>
      <c r="C107" s="311" t="s">
        <v>500</v>
      </c>
      <c r="D107" s="295">
        <v>96</v>
      </c>
      <c r="E107" s="285">
        <f t="shared" ref="E107:Q107" si="27">(0.75)*(E106)+(0.25)*(D106)</f>
        <v>154.875</v>
      </c>
      <c r="F107" s="286">
        <f t="shared" si="27"/>
        <v>241.77499999999998</v>
      </c>
      <c r="G107" s="286">
        <f t="shared" si="27"/>
        <v>353.22499999999997</v>
      </c>
      <c r="H107" s="285">
        <f t="shared" si="27"/>
        <v>482.125</v>
      </c>
      <c r="I107" s="285">
        <f t="shared" si="27"/>
        <v>551.72499999999991</v>
      </c>
      <c r="J107" s="285">
        <f t="shared" si="27"/>
        <v>597.05000000000007</v>
      </c>
      <c r="K107" s="285">
        <f t="shared" si="27"/>
        <v>518.92499999999995</v>
      </c>
      <c r="L107" s="328">
        <f t="shared" si="27"/>
        <v>488.90000000000003</v>
      </c>
      <c r="M107" s="328">
        <f t="shared" si="27"/>
        <v>483.24999999999994</v>
      </c>
      <c r="N107" s="285">
        <f t="shared" si="27"/>
        <v>490.625</v>
      </c>
      <c r="O107" s="285">
        <f t="shared" si="27"/>
        <v>438.34999999999997</v>
      </c>
      <c r="P107" s="285">
        <f t="shared" si="27"/>
        <v>407.97500000000002</v>
      </c>
      <c r="Q107" s="285">
        <f t="shared" si="27"/>
        <v>369.5</v>
      </c>
      <c r="R107" s="315"/>
    </row>
    <row r="108" spans="2:18" s="283" customFormat="1" ht="10">
      <c r="B108" s="294" t="s">
        <v>493</v>
      </c>
      <c r="C108" s="284"/>
      <c r="D108" s="295"/>
      <c r="E108" s="284">
        <f t="shared" ref="E108:Q108" si="28">(0.75)*LN(E106)+(0.25)*LN(D106)</f>
        <v>5.0125306040988207</v>
      </c>
      <c r="F108" s="284">
        <f t="shared" si="28"/>
        <v>5.4730109794767881</v>
      </c>
      <c r="G108" s="284">
        <f t="shared" si="28"/>
        <v>5.8550069918844923</v>
      </c>
      <c r="H108" s="284">
        <f t="shared" si="28"/>
        <v>6.1703598457134206</v>
      </c>
      <c r="I108" s="284">
        <f t="shared" si="28"/>
        <v>6.3122964918073876</v>
      </c>
      <c r="J108" s="284">
        <f t="shared" si="28"/>
        <v>6.3914737392978314</v>
      </c>
      <c r="K108" s="284">
        <f t="shared" si="28"/>
        <v>6.2471633883912787</v>
      </c>
      <c r="L108" s="284">
        <f t="shared" si="28"/>
        <v>6.192157906846294</v>
      </c>
      <c r="M108" s="284">
        <f t="shared" si="28"/>
        <v>6.1805122459760753</v>
      </c>
      <c r="N108" s="284">
        <f t="shared" si="28"/>
        <v>6.1956206652858556</v>
      </c>
      <c r="O108" s="284">
        <f t="shared" si="28"/>
        <v>6.0804944520838156</v>
      </c>
      <c r="P108" s="284">
        <f t="shared" si="28"/>
        <v>6.0110653053933998</v>
      </c>
      <c r="Q108" s="284">
        <f t="shared" si="28"/>
        <v>5.9107534592908122</v>
      </c>
      <c r="R108" s="315"/>
    </row>
    <row r="109" spans="2:18" s="283" customFormat="1" ht="10">
      <c r="B109" s="294" t="s">
        <v>499</v>
      </c>
      <c r="C109" s="85" t="s">
        <v>498</v>
      </c>
      <c r="D109" s="295">
        <v>96</v>
      </c>
      <c r="E109" s="284">
        <f t="shared" ref="E109:Q109" si="29">EXP(E108)</f>
        <v>150.28456608567416</v>
      </c>
      <c r="F109" s="284">
        <f t="shared" si="29"/>
        <v>238.17625801603094</v>
      </c>
      <c r="G109" s="284">
        <f t="shared" si="29"/>
        <v>348.97734005470738</v>
      </c>
      <c r="H109" s="284">
        <f t="shared" si="29"/>
        <v>478.35821027337369</v>
      </c>
      <c r="I109" s="284">
        <f t="shared" si="29"/>
        <v>551.30957407567007</v>
      </c>
      <c r="J109" s="284">
        <f t="shared" si="29"/>
        <v>596.73536433605602</v>
      </c>
      <c r="K109" s="284">
        <f t="shared" si="29"/>
        <v>516.54550556750087</v>
      </c>
      <c r="L109" s="284">
        <f t="shared" si="29"/>
        <v>488.89996932724318</v>
      </c>
      <c r="M109" s="284">
        <f t="shared" si="29"/>
        <v>483.23943041728961</v>
      </c>
      <c r="N109" s="284">
        <f t="shared" si="29"/>
        <v>490.59584633377921</v>
      </c>
      <c r="O109" s="284">
        <f t="shared" si="29"/>
        <v>437.2453381462887</v>
      </c>
      <c r="P109" s="284">
        <f t="shared" si="29"/>
        <v>407.91764575627366</v>
      </c>
      <c r="Q109" s="284">
        <f t="shared" si="29"/>
        <v>368.98406517142843</v>
      </c>
      <c r="R109" s="315"/>
    </row>
    <row r="110" spans="2:18" s="283" customFormat="1" ht="10">
      <c r="B110" s="294"/>
      <c r="C110" s="284"/>
      <c r="D110" s="295"/>
      <c r="E110" s="285"/>
      <c r="F110" s="284"/>
      <c r="G110" s="284"/>
      <c r="H110" s="284"/>
      <c r="I110" s="284"/>
      <c r="J110" s="284"/>
      <c r="K110" s="284"/>
      <c r="L110" s="284"/>
      <c r="M110" s="284"/>
      <c r="N110" s="284"/>
      <c r="O110" s="284"/>
      <c r="P110" s="284"/>
      <c r="Q110" s="284"/>
      <c r="R110" s="315"/>
    </row>
    <row r="111" spans="2:18" s="283" customFormat="1" ht="20">
      <c r="B111" s="294" t="s">
        <v>497</v>
      </c>
      <c r="C111" s="336" t="s">
        <v>454</v>
      </c>
      <c r="D111" s="335">
        <v>9090.9</v>
      </c>
      <c r="E111" s="334">
        <v>10539.1</v>
      </c>
      <c r="F111" s="334">
        <v>11522.6</v>
      </c>
      <c r="G111" s="334">
        <v>12233.2</v>
      </c>
      <c r="H111" s="334">
        <v>13634.7</v>
      </c>
      <c r="I111" s="334">
        <v>12019.5</v>
      </c>
      <c r="J111" s="334">
        <v>10225.1</v>
      </c>
      <c r="K111" s="334">
        <v>8630.9</v>
      </c>
      <c r="L111" s="334">
        <v>8812.2000000000007</v>
      </c>
      <c r="M111" s="334">
        <v>8880.7000000000007</v>
      </c>
      <c r="N111" s="334">
        <v>8377.2000000000007</v>
      </c>
      <c r="O111" s="334">
        <v>8446.7000000000007</v>
      </c>
      <c r="P111" s="334">
        <v>8609.9</v>
      </c>
      <c r="Q111" s="334">
        <v>9604</v>
      </c>
      <c r="R111" s="315"/>
    </row>
    <row r="112" spans="2:18" s="283" customFormat="1" ht="10">
      <c r="B112" s="294" t="s">
        <v>493</v>
      </c>
      <c r="C112" s="284"/>
      <c r="D112" s="314"/>
      <c r="E112" s="285">
        <f t="shared" ref="E112:Q112" si="30">(0.75)*LN(E111)+(0.25)*LN(D111)</f>
        <v>9.2258928701342366</v>
      </c>
      <c r="F112" s="285">
        <f t="shared" si="30"/>
        <v>9.3297610597856746</v>
      </c>
      <c r="G112" s="285">
        <f t="shared" si="30"/>
        <v>9.3969480354067372</v>
      </c>
      <c r="H112" s="285">
        <f t="shared" si="30"/>
        <v>9.4932571811612121</v>
      </c>
      <c r="I112" s="285">
        <f t="shared" si="30"/>
        <v>9.4258075306240308</v>
      </c>
      <c r="J112" s="285">
        <f t="shared" si="30"/>
        <v>9.2730219730822689</v>
      </c>
      <c r="K112" s="285">
        <f t="shared" si="30"/>
        <v>9.1054782397107434</v>
      </c>
      <c r="L112" s="285">
        <f t="shared" si="30"/>
        <v>9.0786953194932956</v>
      </c>
      <c r="M112" s="285">
        <f t="shared" si="30"/>
        <v>9.0896998472781299</v>
      </c>
      <c r="N112" s="285">
        <f t="shared" si="30"/>
        <v>9.0478606720003221</v>
      </c>
      <c r="O112" s="285">
        <f t="shared" si="30"/>
        <v>9.0394655858379505</v>
      </c>
      <c r="P112" s="285">
        <f t="shared" si="30"/>
        <v>9.0558837650966399</v>
      </c>
      <c r="Q112" s="285">
        <f t="shared" si="30"/>
        <v>9.142618213743976</v>
      </c>
      <c r="R112" s="315"/>
    </row>
    <row r="113" spans="2:18" s="283" customFormat="1" ht="20">
      <c r="B113" s="294" t="s">
        <v>496</v>
      </c>
      <c r="C113" s="284"/>
      <c r="D113" s="314">
        <v>9090.9</v>
      </c>
      <c r="E113" s="285">
        <f t="shared" ref="E113:Q113" si="31">EXP(E112)</f>
        <v>10156.740676764437</v>
      </c>
      <c r="F113" s="285">
        <f t="shared" si="31"/>
        <v>11268.438680674124</v>
      </c>
      <c r="G113" s="285">
        <f t="shared" si="31"/>
        <v>12051.543661546331</v>
      </c>
      <c r="H113" s="285">
        <f t="shared" si="31"/>
        <v>13269.947634493226</v>
      </c>
      <c r="I113" s="285">
        <f t="shared" si="31"/>
        <v>12404.412444864327</v>
      </c>
      <c r="J113" s="285">
        <f t="shared" si="31"/>
        <v>10646.877898430452</v>
      </c>
      <c r="K113" s="285">
        <f t="shared" si="31"/>
        <v>9004.4865684542201</v>
      </c>
      <c r="L113" s="285">
        <f t="shared" si="31"/>
        <v>8766.5210535036367</v>
      </c>
      <c r="M113" s="285">
        <f t="shared" si="31"/>
        <v>8863.5252417265438</v>
      </c>
      <c r="N113" s="285">
        <f t="shared" si="31"/>
        <v>8500.3334574769178</v>
      </c>
      <c r="O113" s="285">
        <f t="shared" si="31"/>
        <v>8429.2711302298503</v>
      </c>
      <c r="P113" s="285">
        <f t="shared" si="31"/>
        <v>8568.8067406167811</v>
      </c>
      <c r="Q113" s="285">
        <f t="shared" si="31"/>
        <v>9345.2008622271969</v>
      </c>
      <c r="R113" s="315"/>
    </row>
    <row r="114" spans="2:18" s="283" customFormat="1" ht="20">
      <c r="B114" s="321" t="s">
        <v>495</v>
      </c>
      <c r="C114" s="290"/>
      <c r="D114" s="314">
        <v>9090.9</v>
      </c>
      <c r="E114" s="333">
        <f t="shared" ref="E114:Q114" si="32">(0.75)*(E111)+(0.25)*(D111)</f>
        <v>10177.050000000001</v>
      </c>
      <c r="F114" s="333">
        <f t="shared" si="32"/>
        <v>11276.725</v>
      </c>
      <c r="G114" s="333">
        <f t="shared" si="32"/>
        <v>12055.550000000001</v>
      </c>
      <c r="H114" s="333">
        <f t="shared" si="32"/>
        <v>13284.325000000001</v>
      </c>
      <c r="I114" s="333">
        <f t="shared" si="32"/>
        <v>12423.3</v>
      </c>
      <c r="J114" s="333">
        <f t="shared" si="32"/>
        <v>10673.7</v>
      </c>
      <c r="K114" s="333">
        <f t="shared" si="32"/>
        <v>9029.4499999999989</v>
      </c>
      <c r="L114" s="333">
        <f t="shared" si="32"/>
        <v>8766.875</v>
      </c>
      <c r="M114" s="333">
        <f t="shared" si="32"/>
        <v>8863.5750000000007</v>
      </c>
      <c r="N114" s="333">
        <f t="shared" si="32"/>
        <v>8503.0750000000007</v>
      </c>
      <c r="O114" s="333">
        <f t="shared" si="32"/>
        <v>8429.3250000000007</v>
      </c>
      <c r="P114" s="333">
        <f t="shared" si="32"/>
        <v>8569.0999999999985</v>
      </c>
      <c r="Q114" s="333">
        <f t="shared" si="32"/>
        <v>9355.4750000000004</v>
      </c>
      <c r="R114" s="315"/>
    </row>
    <row r="115" spans="2:18" s="283" customFormat="1" ht="10">
      <c r="B115" s="294"/>
      <c r="C115" s="284"/>
      <c r="D115" s="314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8"/>
      <c r="P115" s="328"/>
      <c r="Q115" s="328"/>
      <c r="R115" s="315"/>
    </row>
    <row r="116" spans="2:18" s="297" customFormat="1" ht="22.5" customHeight="1">
      <c r="B116" s="332" t="s">
        <v>494</v>
      </c>
      <c r="C116" s="331" t="s">
        <v>390</v>
      </c>
      <c r="D116" s="330">
        <f>'a-10'!D36</f>
        <v>2255.2999999999993</v>
      </c>
      <c r="E116" s="330">
        <f>'a-10'!E36</f>
        <v>2699.6000000000022</v>
      </c>
      <c r="F116" s="330">
        <f>'a-10'!F36</f>
        <v>2883</v>
      </c>
      <c r="G116" s="330">
        <f>'a-10'!G36</f>
        <v>3190.1999999999989</v>
      </c>
      <c r="H116" s="330">
        <f>'a-10'!H36</f>
        <v>3351.8</v>
      </c>
      <c r="I116" s="330">
        <f>'a-10'!I36</f>
        <v>3404.3</v>
      </c>
      <c r="J116" s="330">
        <f>'a-10'!J36</f>
        <v>3130.0000000000009</v>
      </c>
      <c r="K116" s="330">
        <f>'a-10'!K36</f>
        <v>2611.0999999999995</v>
      </c>
      <c r="L116" s="330">
        <f>'a-10'!L36</f>
        <v>2841.1000000000022</v>
      </c>
      <c r="M116" s="330">
        <f>'a-10'!M36</f>
        <v>2815.1999999999989</v>
      </c>
      <c r="N116" s="330">
        <f>'a-10'!N36</f>
        <v>2783.7999999999993</v>
      </c>
      <c r="O116" s="330">
        <f>'a-10'!O36</f>
        <v>2711.1000000000004</v>
      </c>
      <c r="P116" s="330">
        <f>'a-10'!P36</f>
        <v>2667.1999999999989</v>
      </c>
      <c r="Q116" s="330">
        <f>'a-10'!Q36</f>
        <v>3171</v>
      </c>
      <c r="R116" s="329"/>
    </row>
    <row r="117" spans="2:18" s="283" customFormat="1" ht="10">
      <c r="B117" s="294" t="s">
        <v>493</v>
      </c>
      <c r="C117" s="284"/>
      <c r="D117" s="295"/>
      <c r="E117" s="284">
        <f t="shared" ref="E117:Q117" si="33">(0.75)*LN(E116)+(0.25)*LN(D116)</f>
        <v>7.855903739847454</v>
      </c>
      <c r="F117" s="284">
        <f t="shared" si="33"/>
        <v>7.9501547464461151</v>
      </c>
      <c r="G117" s="284">
        <f t="shared" si="33"/>
        <v>8.0425258417133616</v>
      </c>
      <c r="H117" s="284">
        <f t="shared" si="33"/>
        <v>8.1048993178976652</v>
      </c>
      <c r="I117" s="284">
        <f t="shared" si="33"/>
        <v>8.1289091615525226</v>
      </c>
      <c r="J117" s="284">
        <f t="shared" si="33"/>
        <v>8.0697898670055928</v>
      </c>
      <c r="K117" s="284">
        <f t="shared" si="33"/>
        <v>7.9128422214844214</v>
      </c>
      <c r="L117" s="284">
        <f t="shared" si="33"/>
        <v>7.9308416519482261</v>
      </c>
      <c r="M117" s="284">
        <f t="shared" si="33"/>
        <v>7.9450780845326214</v>
      </c>
      <c r="N117" s="284">
        <f t="shared" si="33"/>
        <v>7.934376281346819</v>
      </c>
      <c r="O117" s="284">
        <f t="shared" si="33"/>
        <v>7.9117253466303401</v>
      </c>
      <c r="P117" s="284">
        <f t="shared" si="33"/>
        <v>7.8928658178914013</v>
      </c>
      <c r="Q117" s="284">
        <f t="shared" si="33"/>
        <v>8.0185478339028933</v>
      </c>
      <c r="R117" s="315"/>
    </row>
    <row r="118" spans="2:18" s="283" customFormat="1" ht="20">
      <c r="B118" s="294" t="s">
        <v>492</v>
      </c>
      <c r="C118" s="85" t="s">
        <v>491</v>
      </c>
      <c r="D118" s="314">
        <f>D116</f>
        <v>2255.2999999999993</v>
      </c>
      <c r="E118" s="313">
        <f t="shared" ref="E118:Q118" si="34">EXP(E117)</f>
        <v>2580.9265461177856</v>
      </c>
      <c r="F118" s="313">
        <f t="shared" si="34"/>
        <v>2836.013779573535</v>
      </c>
      <c r="G118" s="313">
        <f t="shared" si="34"/>
        <v>3110.4598056268533</v>
      </c>
      <c r="H118" s="313">
        <f t="shared" si="34"/>
        <v>3310.6483254179429</v>
      </c>
      <c r="I118" s="313">
        <f t="shared" si="34"/>
        <v>3391.0984063044043</v>
      </c>
      <c r="J118" s="313">
        <f t="shared" si="34"/>
        <v>3196.4300830770562</v>
      </c>
      <c r="K118" s="313">
        <f t="shared" si="34"/>
        <v>2732.1448020057765</v>
      </c>
      <c r="L118" s="313">
        <f t="shared" si="34"/>
        <v>2781.767099220604</v>
      </c>
      <c r="M118" s="313">
        <f t="shared" si="34"/>
        <v>2821.6527802450164</v>
      </c>
      <c r="N118" s="313">
        <f t="shared" si="34"/>
        <v>2791.61701263123</v>
      </c>
      <c r="O118" s="313">
        <f t="shared" si="34"/>
        <v>2729.0950415960883</v>
      </c>
      <c r="P118" s="313">
        <f t="shared" si="34"/>
        <v>2678.1079031864629</v>
      </c>
      <c r="Q118" s="313">
        <f t="shared" si="34"/>
        <v>3036.7642433702945</v>
      </c>
      <c r="R118" s="315"/>
    </row>
    <row r="119" spans="2:18" s="283" customFormat="1" ht="10">
      <c r="B119" s="294"/>
      <c r="C119" s="284"/>
      <c r="D119" s="314"/>
      <c r="E119" s="328"/>
      <c r="F119" s="328"/>
      <c r="G119" s="328"/>
      <c r="H119" s="328"/>
      <c r="I119" s="328"/>
      <c r="J119" s="328"/>
      <c r="K119" s="328"/>
      <c r="L119" s="328"/>
      <c r="M119" s="328"/>
      <c r="N119" s="328"/>
      <c r="O119" s="328"/>
      <c r="P119" s="328"/>
      <c r="Q119" s="328"/>
      <c r="R119" s="315"/>
    </row>
    <row r="120" spans="2:18" s="283" customFormat="1" ht="10">
      <c r="B120" s="327" t="s">
        <v>490</v>
      </c>
      <c r="C120" s="326"/>
      <c r="D120" s="325"/>
      <c r="E120" s="324"/>
      <c r="F120" s="324"/>
      <c r="G120" s="324"/>
      <c r="H120" s="324"/>
      <c r="I120" s="324"/>
      <c r="J120" s="324"/>
      <c r="K120" s="324"/>
      <c r="L120" s="324"/>
      <c r="M120" s="324"/>
      <c r="N120" s="324"/>
      <c r="O120" s="324"/>
      <c r="P120" s="324"/>
      <c r="Q120" s="324"/>
      <c r="R120" s="315"/>
    </row>
    <row r="121" spans="2:18" s="283" customFormat="1" ht="10">
      <c r="B121" s="294" t="s">
        <v>382</v>
      </c>
      <c r="C121" s="284"/>
      <c r="D121" s="295"/>
      <c r="E121" s="285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315"/>
    </row>
    <row r="122" spans="2:18" s="283" customFormat="1" ht="10">
      <c r="B122" s="294" t="s">
        <v>489</v>
      </c>
      <c r="C122" s="284"/>
      <c r="D122" s="323"/>
      <c r="E122" s="285"/>
      <c r="F122" s="284"/>
      <c r="G122" s="284"/>
      <c r="H122" s="284"/>
      <c r="I122" s="284"/>
      <c r="J122" s="284"/>
      <c r="K122" s="284"/>
      <c r="L122" s="284"/>
      <c r="M122" s="284">
        <v>54.7</v>
      </c>
      <c r="N122" s="284">
        <v>19.399999999999999</v>
      </c>
      <c r="O122" s="284"/>
      <c r="P122" s="284"/>
      <c r="Q122" s="284"/>
      <c r="R122" s="315"/>
    </row>
    <row r="123" spans="2:18" s="283" customFormat="1" ht="10">
      <c r="B123" s="294" t="s">
        <v>478</v>
      </c>
      <c r="C123" s="284"/>
      <c r="D123" s="322">
        <v>209</v>
      </c>
      <c r="E123" s="322">
        <v>679</v>
      </c>
      <c r="F123" s="284">
        <v>755.4</v>
      </c>
      <c r="G123" s="284">
        <v>941.4</v>
      </c>
      <c r="H123" s="284">
        <v>1372.2</v>
      </c>
      <c r="I123" s="284"/>
      <c r="J123" s="284"/>
      <c r="K123" s="284"/>
      <c r="L123" s="284"/>
      <c r="M123" s="284"/>
      <c r="N123" s="284"/>
      <c r="O123" s="284"/>
      <c r="P123" s="284"/>
      <c r="Q123" s="284"/>
      <c r="R123" s="315"/>
    </row>
    <row r="124" spans="2:18" s="283" customFormat="1" ht="10">
      <c r="B124" s="294" t="s">
        <v>488</v>
      </c>
      <c r="C124" s="284"/>
      <c r="D124" s="295"/>
      <c r="E124" s="285"/>
      <c r="F124" s="284"/>
      <c r="G124" s="284"/>
      <c r="H124" s="284"/>
      <c r="I124" s="284">
        <v>1799877</v>
      </c>
      <c r="J124" s="284">
        <v>1530592</v>
      </c>
      <c r="K124" s="284">
        <v>874526</v>
      </c>
      <c r="L124" s="284">
        <v>1758633</v>
      </c>
      <c r="M124" s="284">
        <v>1358851</v>
      </c>
      <c r="N124" s="284">
        <v>1374237</v>
      </c>
      <c r="O124" s="284">
        <v>1505165</v>
      </c>
      <c r="P124" s="284">
        <v>1461314</v>
      </c>
      <c r="Q124" s="284">
        <v>1992621</v>
      </c>
      <c r="R124" s="315"/>
    </row>
    <row r="125" spans="2:18" s="283" customFormat="1" ht="10">
      <c r="B125" s="294" t="s">
        <v>487</v>
      </c>
      <c r="C125" s="284"/>
      <c r="D125" s="295"/>
      <c r="E125" s="285"/>
      <c r="F125" s="284"/>
      <c r="G125" s="284"/>
      <c r="H125" s="284"/>
      <c r="I125" s="284"/>
      <c r="J125" s="284"/>
      <c r="K125" s="284">
        <v>20000</v>
      </c>
      <c r="L125" s="284">
        <v>325088</v>
      </c>
      <c r="M125" s="284">
        <v>69408</v>
      </c>
      <c r="N125" s="284">
        <v>218718</v>
      </c>
      <c r="O125" s="284">
        <v>568278</v>
      </c>
      <c r="P125" s="284">
        <v>396360</v>
      </c>
      <c r="Q125" s="284">
        <v>307940</v>
      </c>
      <c r="R125" s="315"/>
    </row>
    <row r="126" spans="2:18" s="283" customFormat="1" ht="10">
      <c r="B126" s="294" t="s">
        <v>486</v>
      </c>
      <c r="C126" s="284"/>
      <c r="D126" s="295"/>
      <c r="E126" s="285"/>
      <c r="F126" s="313">
        <f>F123</f>
        <v>755.4</v>
      </c>
      <c r="G126" s="313">
        <f>G123</f>
        <v>941.4</v>
      </c>
      <c r="H126" s="313">
        <f>H123</f>
        <v>1372.2</v>
      </c>
      <c r="I126" s="313">
        <f>(I124)/1000</f>
        <v>1799.877</v>
      </c>
      <c r="J126" s="313">
        <f>(J124)/1000</f>
        <v>1530.5920000000001</v>
      </c>
      <c r="K126" s="313">
        <f>(K124)/1000</f>
        <v>874.52599999999995</v>
      </c>
      <c r="L126" s="313">
        <f t="shared" ref="L126:Q126" si="35">(L124-L125)/1000</f>
        <v>1433.5450000000001</v>
      </c>
      <c r="M126" s="313">
        <f t="shared" si="35"/>
        <v>1289.443</v>
      </c>
      <c r="N126" s="313">
        <f t="shared" si="35"/>
        <v>1155.519</v>
      </c>
      <c r="O126" s="313">
        <f t="shared" si="35"/>
        <v>936.88699999999994</v>
      </c>
      <c r="P126" s="313">
        <f t="shared" si="35"/>
        <v>1064.954</v>
      </c>
      <c r="Q126" s="313">
        <f t="shared" si="35"/>
        <v>1684.681</v>
      </c>
      <c r="R126" s="315"/>
    </row>
    <row r="127" spans="2:18" s="283" customFormat="1" ht="10">
      <c r="B127" s="294"/>
      <c r="C127" s="284"/>
      <c r="D127" s="295"/>
      <c r="E127" s="285"/>
      <c r="F127" s="284"/>
      <c r="G127" s="284"/>
      <c r="H127" s="284"/>
      <c r="I127" s="284"/>
      <c r="J127" s="284"/>
      <c r="K127" s="284"/>
      <c r="L127" s="284"/>
      <c r="M127" s="284"/>
      <c r="N127" s="284"/>
      <c r="O127" s="284"/>
      <c r="P127" s="284"/>
      <c r="Q127" s="284"/>
      <c r="R127" s="315"/>
    </row>
    <row r="128" spans="2:18" s="303" customFormat="1">
      <c r="B128" s="321"/>
      <c r="C128" s="290"/>
      <c r="D128" s="320">
        <v>1925</v>
      </c>
      <c r="E128" s="319">
        <v>1926</v>
      </c>
      <c r="F128" s="318">
        <v>1927</v>
      </c>
      <c r="G128" s="318">
        <v>1928</v>
      </c>
      <c r="H128" s="318">
        <v>1929</v>
      </c>
      <c r="I128" s="318">
        <v>1930</v>
      </c>
      <c r="J128" s="318">
        <v>1931</v>
      </c>
      <c r="K128" s="318">
        <v>1932</v>
      </c>
      <c r="L128" s="318">
        <v>1933</v>
      </c>
      <c r="M128" s="318">
        <v>1934</v>
      </c>
      <c r="N128" s="318">
        <v>1935</v>
      </c>
      <c r="O128" s="318">
        <v>1936</v>
      </c>
      <c r="P128" s="318">
        <v>1937</v>
      </c>
      <c r="Q128" s="318">
        <v>1938</v>
      </c>
      <c r="R128" s="141"/>
    </row>
    <row r="129" spans="2:19" s="283" customFormat="1" ht="10">
      <c r="B129" s="297" t="s">
        <v>387</v>
      </c>
      <c r="C129" s="284"/>
      <c r="D129" s="295"/>
      <c r="E129" s="285"/>
      <c r="F129" s="284"/>
      <c r="G129" s="284"/>
      <c r="H129" s="284"/>
      <c r="I129" s="284"/>
      <c r="J129" s="284"/>
      <c r="K129" s="284"/>
      <c r="L129" s="284"/>
      <c r="M129" s="284"/>
      <c r="N129" s="284"/>
      <c r="O129" s="284"/>
      <c r="P129" s="284"/>
      <c r="Q129" s="284"/>
      <c r="R129" s="315"/>
    </row>
    <row r="130" spans="2:19" s="283" customFormat="1" ht="10">
      <c r="B130" s="297" t="s">
        <v>485</v>
      </c>
      <c r="C130" s="284"/>
      <c r="D130" s="295"/>
      <c r="E130" s="285"/>
      <c r="F130" s="284"/>
      <c r="G130" s="284"/>
      <c r="H130" s="284"/>
      <c r="I130" s="284"/>
      <c r="J130" s="284"/>
      <c r="K130" s="284">
        <v>687860</v>
      </c>
      <c r="L130" s="284"/>
      <c r="M130" s="284"/>
      <c r="N130" s="284"/>
      <c r="O130" s="284"/>
      <c r="P130" s="284"/>
      <c r="Q130" s="284"/>
      <c r="R130" s="315"/>
    </row>
    <row r="131" spans="2:19" s="283" customFormat="1" ht="10">
      <c r="B131" s="294" t="s">
        <v>484</v>
      </c>
      <c r="C131" s="284"/>
      <c r="D131" s="295"/>
      <c r="E131" s="285"/>
      <c r="F131" s="284"/>
      <c r="G131" s="284"/>
      <c r="H131" s="284"/>
      <c r="I131" s="284">
        <v>1068658</v>
      </c>
      <c r="J131" s="284">
        <v>1411059</v>
      </c>
      <c r="K131" s="284">
        <v>1074217</v>
      </c>
      <c r="L131" s="284">
        <v>1664404</v>
      </c>
      <c r="M131" s="284">
        <v>1531048</v>
      </c>
      <c r="N131" s="284">
        <v>1376069</v>
      </c>
      <c r="O131" s="284">
        <v>1511747</v>
      </c>
      <c r="P131" s="284">
        <v>1708673</v>
      </c>
      <c r="Q131" s="284">
        <v>1884336</v>
      </c>
      <c r="R131" s="315"/>
    </row>
    <row r="132" spans="2:19" s="283" customFormat="1" ht="10">
      <c r="B132" s="294" t="s">
        <v>483</v>
      </c>
      <c r="C132" s="284"/>
      <c r="D132" s="295"/>
      <c r="E132" s="285"/>
      <c r="F132" s="284"/>
      <c r="G132" s="284"/>
      <c r="H132" s="284"/>
      <c r="I132" s="284">
        <v>1061656</v>
      </c>
      <c r="J132" s="284">
        <v>1373300</v>
      </c>
      <c r="K132" s="284">
        <v>1028925</v>
      </c>
      <c r="L132" s="284">
        <v>981047</v>
      </c>
      <c r="M132" s="284">
        <v>1164823</v>
      </c>
      <c r="N132" s="284">
        <v>1335421</v>
      </c>
      <c r="O132" s="284">
        <v>1499550</v>
      </c>
      <c r="P132" s="284">
        <v>1701118</v>
      </c>
      <c r="Q132" s="284">
        <v>1869057</v>
      </c>
      <c r="R132" s="315"/>
    </row>
    <row r="133" spans="2:19" s="283" customFormat="1" ht="10">
      <c r="B133" s="294" t="s">
        <v>482</v>
      </c>
      <c r="C133" s="284"/>
      <c r="D133" s="295"/>
      <c r="E133" s="285"/>
      <c r="F133" s="284"/>
      <c r="G133" s="284"/>
      <c r="H133" s="284"/>
      <c r="I133" s="284"/>
      <c r="J133" s="284"/>
      <c r="K133" s="284">
        <v>205137</v>
      </c>
      <c r="L133" s="284">
        <v>514278</v>
      </c>
      <c r="M133" s="284">
        <v>361874</v>
      </c>
      <c r="N133" s="284">
        <v>37976</v>
      </c>
      <c r="O133" s="284"/>
      <c r="P133" s="284"/>
      <c r="Q133" s="284"/>
      <c r="R133" s="315"/>
    </row>
    <row r="134" spans="2:19" s="283" customFormat="1" ht="10">
      <c r="B134" s="312" t="s">
        <v>481</v>
      </c>
      <c r="C134" s="293" t="s">
        <v>480</v>
      </c>
      <c r="D134" s="317"/>
      <c r="E134" s="316"/>
      <c r="F134" s="308">
        <v>84.4</v>
      </c>
      <c r="G134" s="308">
        <v>28.1</v>
      </c>
      <c r="H134" s="308">
        <v>21</v>
      </c>
      <c r="I134" s="308">
        <f t="shared" ref="I134:Q134" si="36">(I131-I132)/1000</f>
        <v>7.0019999999999998</v>
      </c>
      <c r="J134" s="308">
        <f t="shared" si="36"/>
        <v>37.759</v>
      </c>
      <c r="K134" s="308">
        <f t="shared" si="36"/>
        <v>45.292000000000002</v>
      </c>
      <c r="L134" s="308">
        <f t="shared" si="36"/>
        <v>683.35699999999997</v>
      </c>
      <c r="M134" s="308">
        <f t="shared" si="36"/>
        <v>366.22500000000002</v>
      </c>
      <c r="N134" s="308">
        <f t="shared" si="36"/>
        <v>40.648000000000003</v>
      </c>
      <c r="O134" s="308">
        <f t="shared" si="36"/>
        <v>12.196999999999999</v>
      </c>
      <c r="P134" s="308">
        <f t="shared" si="36"/>
        <v>7.5549999999999997</v>
      </c>
      <c r="Q134" s="308">
        <f t="shared" si="36"/>
        <v>15.279</v>
      </c>
      <c r="R134" s="315"/>
    </row>
    <row r="135" spans="2:19" s="283" customFormat="1" ht="10">
      <c r="B135" s="294"/>
      <c r="C135" s="284"/>
      <c r="D135" s="295"/>
      <c r="E135" s="285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</row>
    <row r="136" spans="2:19" s="283" customFormat="1" ht="10">
      <c r="B136" s="294" t="s">
        <v>479</v>
      </c>
      <c r="C136" s="284"/>
      <c r="D136" s="295"/>
      <c r="E136" s="285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</row>
    <row r="137" spans="2:19" s="283" customFormat="1" ht="10">
      <c r="B137" s="294" t="s">
        <v>478</v>
      </c>
      <c r="C137" s="284"/>
      <c r="D137" s="314">
        <v>2447.4</v>
      </c>
      <c r="E137" s="313">
        <v>2848.7</v>
      </c>
      <c r="F137" s="284">
        <v>3352.2</v>
      </c>
      <c r="G137" s="284">
        <v>3919.9</v>
      </c>
      <c r="H137" s="284">
        <v>4398.1000000000004</v>
      </c>
      <c r="I137" s="284">
        <v>4379.8</v>
      </c>
      <c r="J137" s="284">
        <v>4095.3</v>
      </c>
      <c r="K137" s="313">
        <v>3304</v>
      </c>
      <c r="L137" s="284">
        <v>3139.7</v>
      </c>
      <c r="M137" s="284">
        <v>3355.5</v>
      </c>
      <c r="N137" s="284">
        <v>3578.6</v>
      </c>
      <c r="O137" s="284">
        <v>3750.2</v>
      </c>
      <c r="P137" s="284">
        <v>3815.5</v>
      </c>
      <c r="Q137" s="284">
        <v>4205.1000000000004</v>
      </c>
    </row>
    <row r="138" spans="2:19" s="283" customFormat="1" ht="10">
      <c r="B138" s="294" t="s">
        <v>477</v>
      </c>
      <c r="C138" s="284"/>
      <c r="D138" s="314">
        <v>186.5</v>
      </c>
      <c r="E138" s="313">
        <v>208.1</v>
      </c>
      <c r="F138" s="284">
        <v>237.1</v>
      </c>
      <c r="G138" s="284">
        <v>349.3</v>
      </c>
      <c r="H138" s="284">
        <v>339</v>
      </c>
      <c r="I138" s="284">
        <v>495.7</v>
      </c>
      <c r="J138" s="284">
        <v>487.7</v>
      </c>
      <c r="K138" s="284">
        <v>477.8</v>
      </c>
      <c r="L138" s="284">
        <v>491.2</v>
      </c>
      <c r="M138" s="284">
        <v>538.70000000000005</v>
      </c>
      <c r="N138" s="284">
        <v>536.9</v>
      </c>
      <c r="O138" s="284">
        <v>541</v>
      </c>
      <c r="P138" s="284">
        <v>516.5</v>
      </c>
      <c r="Q138" s="290">
        <v>582.70000000000005</v>
      </c>
    </row>
    <row r="139" spans="2:19" s="283" customFormat="1" ht="10">
      <c r="B139" s="312" t="s">
        <v>476</v>
      </c>
      <c r="C139" s="311" t="s">
        <v>475</v>
      </c>
      <c r="D139" s="310">
        <f t="shared" ref="D139:Q139" si="37">D137-D138</f>
        <v>2260.9</v>
      </c>
      <c r="E139" s="309">
        <f t="shared" si="37"/>
        <v>2640.6</v>
      </c>
      <c r="F139" s="308">
        <f t="shared" si="37"/>
        <v>3115.1</v>
      </c>
      <c r="G139" s="308">
        <f t="shared" si="37"/>
        <v>3570.6</v>
      </c>
      <c r="H139" s="307">
        <f t="shared" si="37"/>
        <v>4059.1000000000004</v>
      </c>
      <c r="I139" s="308">
        <f t="shared" si="37"/>
        <v>3884.1000000000004</v>
      </c>
      <c r="J139" s="308">
        <f t="shared" si="37"/>
        <v>3607.6000000000004</v>
      </c>
      <c r="K139" s="308">
        <f t="shared" si="37"/>
        <v>2826.2</v>
      </c>
      <c r="L139" s="308">
        <f t="shared" si="37"/>
        <v>2648.5</v>
      </c>
      <c r="M139" s="308">
        <f t="shared" si="37"/>
        <v>2816.8</v>
      </c>
      <c r="N139" s="308">
        <f t="shared" si="37"/>
        <v>3041.7</v>
      </c>
      <c r="O139" s="308">
        <f t="shared" si="37"/>
        <v>3209.2</v>
      </c>
      <c r="P139" s="308">
        <f t="shared" si="37"/>
        <v>3299</v>
      </c>
      <c r="Q139" s="307">
        <f t="shared" si="37"/>
        <v>3622.4000000000005</v>
      </c>
    </row>
    <row r="140" spans="2:19" s="283" customFormat="1" ht="10">
      <c r="B140" s="294"/>
      <c r="C140" s="284"/>
      <c r="D140" s="295"/>
      <c r="E140" s="285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</row>
    <row r="141" spans="2:19" s="283" customFormat="1" ht="20">
      <c r="B141" s="306" t="s">
        <v>474</v>
      </c>
      <c r="C141" s="305" t="s">
        <v>473</v>
      </c>
      <c r="D141" s="300"/>
      <c r="E141" s="304"/>
      <c r="F141" s="304"/>
      <c r="G141" s="304"/>
      <c r="H141" s="304"/>
      <c r="I141" s="304">
        <v>265.2</v>
      </c>
      <c r="J141" s="304">
        <v>262.7</v>
      </c>
      <c r="K141" s="304">
        <v>224.9</v>
      </c>
      <c r="L141" s="304">
        <v>210.5</v>
      </c>
      <c r="M141" s="304">
        <v>248.9</v>
      </c>
      <c r="N141" s="304">
        <v>257.2</v>
      </c>
      <c r="O141" s="304">
        <v>263.60000000000002</v>
      </c>
      <c r="P141" s="304">
        <v>275</v>
      </c>
      <c r="Q141" s="304">
        <v>297.7</v>
      </c>
    </row>
    <row r="142" spans="2:19" s="283" customFormat="1" ht="10">
      <c r="B142" s="294"/>
      <c r="C142" s="284"/>
      <c r="E142" s="284"/>
      <c r="F142" s="284"/>
      <c r="H142" s="284"/>
      <c r="I142" s="284"/>
      <c r="J142" s="284"/>
      <c r="K142" s="284" t="s">
        <v>472</v>
      </c>
      <c r="L142" s="284"/>
      <c r="M142" s="284"/>
      <c r="N142" s="284"/>
      <c r="O142" s="284"/>
      <c r="P142" s="284"/>
      <c r="Q142" s="284"/>
      <c r="R142" s="303"/>
      <c r="S142" s="303"/>
    </row>
    <row r="143" spans="2:19" s="283" customFormat="1" ht="10">
      <c r="B143" s="297"/>
      <c r="C143" s="284"/>
      <c r="D143" s="296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</row>
    <row r="144" spans="2:19" s="283" customFormat="1" ht="20">
      <c r="B144" s="302" t="s">
        <v>471</v>
      </c>
      <c r="C144" s="301"/>
      <c r="D144" s="300">
        <v>117</v>
      </c>
      <c r="E144" s="298">
        <v>229.6</v>
      </c>
      <c r="F144" s="298">
        <v>243</v>
      </c>
      <c r="G144" s="298">
        <v>283.5</v>
      </c>
      <c r="H144" s="299">
        <v>339</v>
      </c>
      <c r="I144" s="298">
        <v>366.2</v>
      </c>
      <c r="J144" s="298">
        <v>385.3</v>
      </c>
      <c r="K144" s="299">
        <v>329.1</v>
      </c>
      <c r="L144" s="298">
        <v>318.60000000000002</v>
      </c>
      <c r="M144" s="298">
        <v>341</v>
      </c>
      <c r="N144" s="299">
        <v>377.9</v>
      </c>
      <c r="O144" s="298">
        <v>474.6</v>
      </c>
      <c r="P144" s="299">
        <v>421.7</v>
      </c>
      <c r="Q144" s="298">
        <v>462.6</v>
      </c>
    </row>
    <row r="145" spans="2:17" s="283" customFormat="1" ht="10">
      <c r="B145" s="297" t="s">
        <v>470</v>
      </c>
      <c r="C145" s="284"/>
      <c r="D145" s="296"/>
      <c r="E145" s="284"/>
      <c r="F145" s="284"/>
      <c r="G145" s="284"/>
      <c r="H145" s="284"/>
      <c r="I145" s="284"/>
      <c r="J145" s="284"/>
      <c r="K145" s="284"/>
      <c r="L145" s="284"/>
      <c r="M145" s="284">
        <v>54.7</v>
      </c>
      <c r="N145" s="284">
        <v>19.399999999999999</v>
      </c>
      <c r="O145" s="284">
        <v>15.2</v>
      </c>
      <c r="P145" s="284">
        <v>10.4</v>
      </c>
      <c r="Q145" s="284"/>
    </row>
    <row r="146" spans="2:17" s="283" customFormat="1" ht="10">
      <c r="B146" s="297"/>
      <c r="C146" s="284"/>
      <c r="D146" s="296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>
        <v>1.2</v>
      </c>
      <c r="P146" s="284">
        <v>0.8</v>
      </c>
      <c r="Q146" s="284"/>
    </row>
    <row r="147" spans="2:17" s="283" customFormat="1" ht="10">
      <c r="B147" s="297"/>
      <c r="C147" s="284"/>
      <c r="D147" s="296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>
        <v>25</v>
      </c>
      <c r="P147" s="284">
        <v>13</v>
      </c>
      <c r="Q147" s="284"/>
    </row>
    <row r="148" spans="2:17" s="283" customFormat="1" ht="10">
      <c r="B148" s="294"/>
      <c r="C148" s="284"/>
      <c r="D148" s="295"/>
      <c r="E148" s="285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>
        <v>13</v>
      </c>
      <c r="P148" s="284">
        <v>7</v>
      </c>
      <c r="Q148" s="284"/>
    </row>
    <row r="149" spans="2:17" s="283" customFormat="1" ht="10">
      <c r="B149" s="294"/>
      <c r="C149" s="284"/>
      <c r="D149" s="295"/>
      <c r="E149" s="285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</row>
    <row r="150" spans="2:17" s="283" customFormat="1" ht="10">
      <c r="B150" s="294" t="s">
        <v>469</v>
      </c>
      <c r="C150" s="293" t="s">
        <v>468</v>
      </c>
      <c r="D150" s="292">
        <f t="shared" ref="D150:L150" si="38">D144</f>
        <v>117</v>
      </c>
      <c r="E150" s="290">
        <f t="shared" si="38"/>
        <v>229.6</v>
      </c>
      <c r="F150" s="290">
        <f t="shared" si="38"/>
        <v>243</v>
      </c>
      <c r="G150" s="290">
        <f t="shared" si="38"/>
        <v>283.5</v>
      </c>
      <c r="H150" s="290">
        <f t="shared" si="38"/>
        <v>339</v>
      </c>
      <c r="I150" s="290">
        <f t="shared" si="38"/>
        <v>366.2</v>
      </c>
      <c r="J150" s="290">
        <f t="shared" si="38"/>
        <v>385.3</v>
      </c>
      <c r="K150" s="290">
        <f t="shared" si="38"/>
        <v>329.1</v>
      </c>
      <c r="L150" s="290">
        <f t="shared" si="38"/>
        <v>318.60000000000002</v>
      </c>
      <c r="M150" s="290">
        <f>M144-M145</f>
        <v>286.3</v>
      </c>
      <c r="N150" s="291">
        <f>N144</f>
        <v>377.9</v>
      </c>
      <c r="O150" s="290">
        <f>O144-O145-O146-O148-O149</f>
        <v>445.20000000000005</v>
      </c>
      <c r="P150" s="290">
        <f>P144-P145-P146-P148</f>
        <v>403.5</v>
      </c>
      <c r="Q150" s="290">
        <f>Q144</f>
        <v>462.6</v>
      </c>
    </row>
    <row r="151" spans="2:17" s="283" customFormat="1" ht="10">
      <c r="B151" s="287"/>
      <c r="C151" s="284"/>
      <c r="D151" s="289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</row>
    <row r="152" spans="2:17" s="283" customFormat="1" ht="10">
      <c r="B152" s="287"/>
      <c r="C152" s="284"/>
      <c r="D152" s="286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</row>
    <row r="153" spans="2:17" s="283" customFormat="1" ht="10">
      <c r="B153" s="287"/>
      <c r="C153" s="284"/>
      <c r="D153" s="286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</row>
    <row r="154" spans="2:17" s="283" customFormat="1" ht="10">
      <c r="B154" s="287"/>
      <c r="C154" s="284"/>
      <c r="D154" s="286">
        <v>9090.7999999999993</v>
      </c>
      <c r="E154" s="286">
        <v>10177</v>
      </c>
      <c r="F154" s="286">
        <v>11276.6</v>
      </c>
      <c r="G154" s="286">
        <v>12048</v>
      </c>
      <c r="H154" s="286">
        <v>12531.8</v>
      </c>
      <c r="I154" s="286">
        <v>12165.1</v>
      </c>
      <c r="J154" s="286">
        <v>10595.9</v>
      </c>
      <c r="K154" s="286">
        <v>9003.7000000000007</v>
      </c>
      <c r="L154" s="286">
        <v>8767.4</v>
      </c>
      <c r="M154" s="286">
        <v>8864.7000000000007</v>
      </c>
      <c r="N154" s="286">
        <v>8495.9</v>
      </c>
      <c r="O154" s="286">
        <v>8427.6</v>
      </c>
      <c r="P154" s="286">
        <v>8561.1</v>
      </c>
      <c r="Q154" s="286">
        <v>9352.7000000000007</v>
      </c>
    </row>
    <row r="155" spans="2:17" s="283" customFormat="1" ht="10">
      <c r="B155" s="287"/>
      <c r="C155" s="284"/>
      <c r="D155" s="286"/>
      <c r="E155" s="285"/>
      <c r="F155" s="284"/>
      <c r="G155" s="284"/>
      <c r="H155" s="284"/>
      <c r="I155" s="284"/>
      <c r="J155" s="284"/>
      <c r="K155" s="284"/>
      <c r="L155" s="284"/>
      <c r="M155" s="284"/>
      <c r="N155" s="284"/>
      <c r="O155" s="284"/>
      <c r="P155" s="284"/>
      <c r="Q155" s="284"/>
    </row>
    <row r="156" spans="2:17" s="283" customFormat="1" ht="10">
      <c r="B156" s="287"/>
      <c r="C156" s="284"/>
      <c r="D156" s="286"/>
      <c r="E156" s="285"/>
      <c r="F156" s="284"/>
      <c r="G156" s="284"/>
      <c r="H156" s="284"/>
      <c r="I156" s="284"/>
      <c r="J156" s="284"/>
      <c r="K156" s="284"/>
      <c r="L156" s="284"/>
      <c r="M156" s="284"/>
      <c r="N156" s="284"/>
      <c r="O156" s="284"/>
      <c r="P156" s="284"/>
      <c r="Q156" s="284"/>
    </row>
    <row r="157" spans="2:17" s="283" customFormat="1" ht="10">
      <c r="B157" s="287"/>
      <c r="C157" s="284"/>
      <c r="D157" s="286"/>
      <c r="E157" s="285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</row>
    <row r="158" spans="2:17" s="283" customFormat="1" ht="10">
      <c r="B158" s="287" t="s">
        <v>467</v>
      </c>
      <c r="C158" s="284"/>
      <c r="D158" s="286"/>
      <c r="E158" s="285"/>
      <c r="F158" s="284"/>
      <c r="G158" s="284"/>
      <c r="H158" s="284"/>
      <c r="I158" s="284">
        <f t="shared" ref="I158:Q158" si="39">I132/1000</f>
        <v>1061.6559999999999</v>
      </c>
      <c r="J158" s="284">
        <f t="shared" si="39"/>
        <v>1373.3</v>
      </c>
      <c r="K158" s="284">
        <f t="shared" si="39"/>
        <v>1028.925</v>
      </c>
      <c r="L158" s="284">
        <f t="shared" si="39"/>
        <v>981.04700000000003</v>
      </c>
      <c r="M158" s="284">
        <f t="shared" si="39"/>
        <v>1164.8230000000001</v>
      </c>
      <c r="N158" s="284">
        <f t="shared" si="39"/>
        <v>1335.421</v>
      </c>
      <c r="O158" s="284">
        <f t="shared" si="39"/>
        <v>1499.55</v>
      </c>
      <c r="P158" s="284">
        <f t="shared" si="39"/>
        <v>1701.1179999999999</v>
      </c>
      <c r="Q158" s="284">
        <f t="shared" si="39"/>
        <v>1869.057</v>
      </c>
    </row>
    <row r="159" spans="2:17" s="283" customFormat="1" ht="10">
      <c r="B159" s="287" t="s">
        <v>466</v>
      </c>
      <c r="C159" s="284"/>
      <c r="D159" s="286"/>
      <c r="E159" s="285"/>
      <c r="F159" s="284"/>
      <c r="G159" s="284"/>
      <c r="H159" s="284"/>
      <c r="I159" s="284">
        <v>3981.2</v>
      </c>
      <c r="J159" s="284">
        <v>3186.1</v>
      </c>
      <c r="K159" s="284">
        <v>2502.4</v>
      </c>
      <c r="L159" s="284">
        <v>2494.8000000000002</v>
      </c>
      <c r="M159" s="284">
        <v>2900</v>
      </c>
      <c r="N159" s="284">
        <v>3135.3</v>
      </c>
      <c r="O159" s="284">
        <v>3441.6</v>
      </c>
      <c r="P159" s="284">
        <v>3770.7</v>
      </c>
      <c r="Q159" s="284">
        <v>3955.7</v>
      </c>
    </row>
    <row r="160" spans="2:17" s="283" customFormat="1" ht="10">
      <c r="B160" s="288" t="s">
        <v>465</v>
      </c>
      <c r="C160" s="284"/>
      <c r="D160" s="286"/>
      <c r="E160" s="285"/>
      <c r="F160" s="284"/>
      <c r="G160" s="284"/>
      <c r="H160" s="284"/>
      <c r="I160" s="284">
        <f t="shared" ref="I160:Q160" si="40">I158+I159</f>
        <v>5042.8559999999998</v>
      </c>
      <c r="J160" s="284">
        <f t="shared" si="40"/>
        <v>4559.3999999999996</v>
      </c>
      <c r="K160" s="284">
        <f t="shared" si="40"/>
        <v>3531.3249999999998</v>
      </c>
      <c r="L160" s="284">
        <f t="shared" si="40"/>
        <v>3475.8470000000002</v>
      </c>
      <c r="M160" s="284">
        <f t="shared" si="40"/>
        <v>4064.8230000000003</v>
      </c>
      <c r="N160" s="284">
        <f t="shared" si="40"/>
        <v>4470.7210000000005</v>
      </c>
      <c r="O160" s="284">
        <f t="shared" si="40"/>
        <v>4941.1499999999996</v>
      </c>
      <c r="P160" s="284">
        <f t="shared" si="40"/>
        <v>5471.8179999999993</v>
      </c>
      <c r="Q160" s="284">
        <f t="shared" si="40"/>
        <v>5824.7569999999996</v>
      </c>
    </row>
    <row r="161" spans="2:17" s="283" customFormat="1" ht="10">
      <c r="B161" s="287"/>
      <c r="C161" s="284"/>
      <c r="D161" s="286"/>
      <c r="E161" s="285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</row>
    <row r="162" spans="2:17" s="283" customFormat="1" ht="10">
      <c r="B162" s="287"/>
      <c r="C162" s="284"/>
      <c r="D162" s="286"/>
      <c r="E162" s="285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</row>
    <row r="163" spans="2:17" s="283" customFormat="1" ht="10">
      <c r="B163" s="287"/>
      <c r="C163" s="284"/>
      <c r="D163" s="286"/>
      <c r="E163" s="285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</row>
    <row r="164" spans="2:17" s="283" customFormat="1" ht="10">
      <c r="B164" s="287"/>
      <c r="C164" s="284"/>
      <c r="D164" s="286"/>
      <c r="E164" s="285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</row>
    <row r="165" spans="2:17" s="283" customFormat="1" ht="10">
      <c r="B165" s="287"/>
      <c r="C165" s="284"/>
      <c r="D165" s="286"/>
      <c r="E165" s="285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</row>
    <row r="166" spans="2:17" s="283" customFormat="1" ht="10">
      <c r="B166" s="287"/>
      <c r="C166" s="284"/>
      <c r="D166" s="286"/>
      <c r="E166" s="285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</row>
    <row r="167" spans="2:17" s="283" customFormat="1" ht="10">
      <c r="B167" s="287"/>
      <c r="C167" s="284"/>
      <c r="D167" s="286"/>
      <c r="E167" s="285"/>
      <c r="F167" s="284"/>
      <c r="G167" s="284"/>
      <c r="H167" s="284"/>
      <c r="I167" s="284"/>
      <c r="J167" s="284"/>
      <c r="K167" s="284">
        <f>1967214-687860</f>
        <v>1279354</v>
      </c>
      <c r="L167" s="284"/>
      <c r="M167" s="284"/>
      <c r="N167" s="284"/>
      <c r="O167" s="284"/>
      <c r="P167" s="284"/>
      <c r="Q167" s="284"/>
    </row>
    <row r="168" spans="2:17" s="283" customFormat="1" ht="10">
      <c r="B168" s="287"/>
      <c r="C168" s="284"/>
      <c r="D168" s="286"/>
      <c r="E168" s="285"/>
      <c r="F168" s="284"/>
      <c r="G168" s="284"/>
      <c r="H168" s="284"/>
      <c r="I168" s="284"/>
      <c r="J168" s="284"/>
      <c r="K168" s="284"/>
      <c r="L168" s="284"/>
      <c r="M168" s="284"/>
      <c r="N168" s="284"/>
      <c r="O168" s="284"/>
      <c r="P168" s="284"/>
      <c r="Q168" s="284"/>
    </row>
    <row r="169" spans="2:17" s="283" customFormat="1" ht="10">
      <c r="B169" s="287"/>
      <c r="C169" s="284"/>
      <c r="D169" s="286"/>
      <c r="E169" s="285"/>
      <c r="F169" s="284"/>
      <c r="G169" s="284"/>
      <c r="H169" s="284"/>
      <c r="I169" s="284"/>
      <c r="J169" s="284"/>
      <c r="K169" s="284"/>
      <c r="L169" s="284"/>
      <c r="M169" s="284"/>
      <c r="N169" s="284"/>
      <c r="O169" s="284"/>
      <c r="P169" s="284"/>
      <c r="Q169" s="284"/>
    </row>
    <row r="170" spans="2:17" s="283" customFormat="1" ht="10">
      <c r="B170" s="287"/>
      <c r="C170" s="284"/>
      <c r="D170" s="286"/>
      <c r="E170" s="285"/>
      <c r="F170" s="284"/>
      <c r="G170" s="284"/>
      <c r="H170" s="284"/>
      <c r="I170" s="284"/>
      <c r="J170" s="284"/>
      <c r="K170" s="284"/>
      <c r="L170" s="284"/>
      <c r="M170" s="284"/>
      <c r="N170" s="284"/>
      <c r="O170" s="284"/>
      <c r="P170" s="284"/>
      <c r="Q170" s="284"/>
    </row>
    <row r="171" spans="2:17" s="283" customFormat="1" ht="10">
      <c r="B171" s="287"/>
      <c r="C171" s="284"/>
      <c r="D171" s="286"/>
      <c r="E171" s="285"/>
      <c r="F171" s="284"/>
      <c r="G171" s="284"/>
      <c r="H171" s="284"/>
      <c r="I171" s="284"/>
      <c r="J171" s="284"/>
      <c r="K171" s="284"/>
      <c r="L171" s="284"/>
      <c r="M171" s="284"/>
      <c r="N171" s="284"/>
      <c r="O171" s="284"/>
      <c r="P171" s="284"/>
      <c r="Q171" s="284"/>
    </row>
    <row r="172" spans="2:17" s="283" customFormat="1" ht="10">
      <c r="B172" s="287"/>
      <c r="C172" s="284"/>
      <c r="D172" s="286"/>
      <c r="E172" s="285"/>
      <c r="F172" s="284"/>
      <c r="G172" s="284"/>
      <c r="H172" s="284"/>
      <c r="I172" s="284"/>
      <c r="J172" s="284"/>
      <c r="K172" s="284"/>
      <c r="L172" s="284"/>
      <c r="M172" s="284"/>
      <c r="N172" s="284"/>
      <c r="O172" s="284"/>
      <c r="P172" s="284"/>
      <c r="Q172" s="284"/>
    </row>
    <row r="173" spans="2:17" s="283" customFormat="1" ht="10">
      <c r="B173" s="287"/>
      <c r="C173" s="284"/>
      <c r="D173" s="286"/>
      <c r="E173" s="285"/>
      <c r="F173" s="284"/>
      <c r="G173" s="284"/>
      <c r="H173" s="284"/>
      <c r="I173" s="284"/>
      <c r="J173" s="284"/>
      <c r="K173" s="284"/>
      <c r="L173" s="284"/>
      <c r="M173" s="284"/>
      <c r="N173" s="284"/>
      <c r="O173" s="284"/>
      <c r="P173" s="284"/>
      <c r="Q173" s="284"/>
    </row>
    <row r="174" spans="2:17" s="283" customFormat="1" ht="10">
      <c r="B174" s="287"/>
      <c r="C174" s="284"/>
      <c r="D174" s="286"/>
      <c r="E174" s="285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</row>
    <row r="175" spans="2:17" s="283" customFormat="1" ht="10">
      <c r="B175" s="287"/>
      <c r="C175" s="284"/>
      <c r="D175" s="286"/>
      <c r="E175" s="285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</row>
    <row r="176" spans="2:17" s="283" customFormat="1" ht="10">
      <c r="B176" s="287"/>
      <c r="C176" s="284"/>
      <c r="D176" s="286"/>
      <c r="E176" s="285"/>
      <c r="F176" s="284"/>
      <c r="G176" s="284"/>
      <c r="H176" s="284"/>
      <c r="I176" s="284"/>
      <c r="J176" s="284"/>
      <c r="K176" s="284"/>
      <c r="L176" s="284"/>
      <c r="M176" s="284"/>
      <c r="N176" s="284"/>
      <c r="O176" s="284"/>
      <c r="P176" s="284"/>
      <c r="Q176" s="284"/>
    </row>
    <row r="177" spans="2:17" s="283" customFormat="1" ht="10">
      <c r="B177" s="287"/>
      <c r="C177" s="284"/>
      <c r="D177" s="286"/>
      <c r="E177" s="285"/>
      <c r="F177" s="284"/>
      <c r="G177" s="284"/>
      <c r="H177" s="284"/>
      <c r="I177" s="284"/>
      <c r="J177" s="284"/>
      <c r="K177" s="284"/>
      <c r="L177" s="284"/>
      <c r="M177" s="284"/>
      <c r="N177" s="284"/>
      <c r="O177" s="284"/>
      <c r="P177" s="284"/>
      <c r="Q177" s="284"/>
    </row>
  </sheetData>
  <sheetProtection sheet="1" objects="1" scenarios="1"/>
  <pageMargins left="0.35433070866141736" right="0.27559055118110237" top="0.39370078740157483" bottom="0.70866141732283472" header="0.19685039370078741" footer="0.35433070866141736"/>
  <pageSetup paperSize="9" orientation="landscape" horizontalDpi="1200" verticalDpi="1200"/>
  <rowBreaks count="2" manualBreakCount="2">
    <brk id="58" max="16383" man="1"/>
    <brk id="8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G17" sqref="G17"/>
    </sheetView>
  </sheetViews>
  <sheetFormatPr baseColWidth="10" defaultRowHeight="12" x14ac:dyDescent="0"/>
  <cols>
    <col min="1" max="1" width="3" style="2" customWidth="1"/>
    <col min="2" max="2" width="26.83203125" style="2" customWidth="1"/>
    <col min="3" max="3" width="6.83203125" style="117" customWidth="1"/>
    <col min="4" max="4" width="6.6640625" style="2" customWidth="1"/>
    <col min="5" max="5" width="7.33203125" style="2" customWidth="1"/>
    <col min="6" max="11" width="6.33203125" style="2" customWidth="1"/>
    <col min="12" max="12" width="6.33203125" style="117" customWidth="1"/>
    <col min="13" max="18" width="6.33203125" style="2" customWidth="1"/>
    <col min="19" max="16384" width="10.83203125" style="2"/>
  </cols>
  <sheetData>
    <row r="1" spans="1:18">
      <c r="A1" s="394" t="s">
        <v>597</v>
      </c>
      <c r="C1" s="393"/>
      <c r="D1" s="48"/>
      <c r="E1" s="48"/>
      <c r="F1" s="48"/>
      <c r="G1" s="48"/>
      <c r="H1" s="48"/>
      <c r="I1" s="48"/>
      <c r="J1" s="48"/>
      <c r="K1" s="48"/>
      <c r="L1" s="393"/>
      <c r="M1" s="48"/>
      <c r="N1" s="48"/>
      <c r="O1" s="48"/>
      <c r="P1" s="48"/>
      <c r="Q1" s="48"/>
      <c r="R1" s="48"/>
    </row>
    <row r="2" spans="1:18">
      <c r="B2" s="48"/>
      <c r="C2" s="393"/>
      <c r="D2" s="48"/>
      <c r="E2" s="48"/>
      <c r="F2" s="48"/>
      <c r="G2" s="48"/>
      <c r="H2" s="48"/>
      <c r="I2" s="48"/>
      <c r="J2" s="48"/>
      <c r="K2" s="48"/>
      <c r="L2" s="393"/>
      <c r="M2" s="48"/>
      <c r="N2" s="48"/>
      <c r="O2" s="48"/>
      <c r="P2" s="48"/>
      <c r="Q2" s="48"/>
      <c r="R2" s="48"/>
    </row>
    <row r="3" spans="1:18">
      <c r="A3" s="393" t="s">
        <v>596</v>
      </c>
      <c r="C3" s="381"/>
      <c r="D3" s="48"/>
      <c r="E3" s="44"/>
      <c r="F3" s="44"/>
      <c r="G3" s="44"/>
      <c r="H3" s="44"/>
      <c r="I3" s="44"/>
      <c r="J3" s="44"/>
      <c r="K3" s="44"/>
      <c r="L3" s="73"/>
      <c r="M3" s="44"/>
      <c r="N3" s="44"/>
      <c r="O3" s="44"/>
      <c r="P3" s="44"/>
      <c r="Q3" s="44"/>
      <c r="R3" s="44"/>
    </row>
    <row r="4" spans="1:18" ht="13" thickBot="1">
      <c r="B4" s="93"/>
      <c r="C4" s="90"/>
      <c r="D4" s="392"/>
      <c r="E4" s="49"/>
      <c r="F4" s="49"/>
      <c r="G4" s="49"/>
      <c r="H4" s="49"/>
      <c r="I4" s="49"/>
      <c r="J4" s="49"/>
      <c r="K4" s="49"/>
      <c r="L4" s="531"/>
      <c r="M4" s="49"/>
      <c r="N4" s="49"/>
      <c r="O4" s="49"/>
      <c r="P4" s="49"/>
      <c r="Q4" s="49"/>
      <c r="R4" s="49"/>
    </row>
    <row r="5" spans="1:18" s="115" customFormat="1" ht="18.75" customHeight="1" thickTop="1" thickBot="1">
      <c r="A5" s="391"/>
      <c r="B5" s="391"/>
      <c r="C5" s="391"/>
      <c r="D5" s="391">
        <v>1913</v>
      </c>
      <c r="E5" s="391">
        <v>1925</v>
      </c>
      <c r="F5" s="391">
        <v>1926</v>
      </c>
      <c r="G5" s="391">
        <v>1927</v>
      </c>
      <c r="H5" s="391">
        <v>1928</v>
      </c>
      <c r="I5" s="391">
        <v>1929</v>
      </c>
      <c r="J5" s="391">
        <v>1930</v>
      </c>
      <c r="K5" s="391">
        <v>1931</v>
      </c>
      <c r="L5" s="532">
        <v>1932</v>
      </c>
      <c r="M5" s="391">
        <v>1933</v>
      </c>
      <c r="N5" s="391">
        <v>1934</v>
      </c>
      <c r="O5" s="391">
        <v>1935</v>
      </c>
      <c r="P5" s="391">
        <v>1936</v>
      </c>
      <c r="Q5" s="391">
        <v>1937</v>
      </c>
      <c r="R5" s="391">
        <v>1938</v>
      </c>
    </row>
    <row r="6" spans="1:18" s="51" customFormat="1" ht="3.75" customHeight="1" thickTop="1">
      <c r="A6" s="390"/>
      <c r="B6" s="52"/>
      <c r="C6" s="200"/>
      <c r="D6" s="200"/>
      <c r="E6" s="200"/>
      <c r="F6" s="200"/>
      <c r="G6" s="200"/>
      <c r="H6" s="200"/>
      <c r="I6" s="200"/>
      <c r="J6" s="200"/>
      <c r="K6" s="200"/>
      <c r="L6" s="424"/>
      <c r="M6" s="200"/>
      <c r="N6" s="200"/>
      <c r="O6" s="200"/>
      <c r="P6" s="200"/>
      <c r="Q6" s="200"/>
      <c r="R6" s="200"/>
    </row>
    <row r="7" spans="1:18">
      <c r="A7" s="64" t="s">
        <v>38</v>
      </c>
      <c r="B7" s="64" t="s">
        <v>595</v>
      </c>
      <c r="C7" s="200"/>
      <c r="D7" s="200"/>
      <c r="E7" s="200"/>
      <c r="F7" s="200"/>
      <c r="G7" s="200"/>
      <c r="H7" s="200"/>
      <c r="I7" s="200"/>
      <c r="J7" s="200"/>
      <c r="K7" s="200"/>
      <c r="L7" s="424"/>
      <c r="M7" s="200"/>
      <c r="N7" s="200"/>
      <c r="O7" s="200"/>
      <c r="P7" s="200"/>
      <c r="Q7" s="200"/>
      <c r="R7" s="200"/>
    </row>
    <row r="8" spans="1:18" ht="24">
      <c r="A8" s="383"/>
      <c r="B8" s="60" t="s">
        <v>594</v>
      </c>
      <c r="C8" s="200" t="s">
        <v>593</v>
      </c>
      <c r="D8" s="200">
        <v>45693</v>
      </c>
      <c r="E8" s="200">
        <v>59978</v>
      </c>
      <c r="F8" s="200">
        <v>62673</v>
      </c>
      <c r="G8" s="200">
        <v>70754</v>
      </c>
      <c r="H8" s="200">
        <v>75373</v>
      </c>
      <c r="I8" s="200">
        <v>75949</v>
      </c>
      <c r="J8" s="200">
        <v>70223</v>
      </c>
      <c r="K8" s="200">
        <v>57458</v>
      </c>
      <c r="L8" s="424">
        <v>45175</v>
      </c>
      <c r="M8" s="200">
        <v>46514</v>
      </c>
      <c r="N8" s="200">
        <v>52765</v>
      </c>
      <c r="O8" s="200">
        <v>59112</v>
      </c>
      <c r="P8" s="200">
        <v>65849</v>
      </c>
      <c r="Q8" s="200">
        <v>73757</v>
      </c>
      <c r="R8" s="200">
        <v>82098</v>
      </c>
    </row>
    <row r="9" spans="1:18" ht="36">
      <c r="A9" s="383"/>
      <c r="B9" s="65" t="s">
        <v>592</v>
      </c>
      <c r="C9" s="200" t="s">
        <v>591</v>
      </c>
      <c r="D9" s="200">
        <v>100</v>
      </c>
      <c r="E9" s="200">
        <v>2581</v>
      </c>
      <c r="F9" s="200">
        <v>2623</v>
      </c>
      <c r="G9" s="200">
        <v>3469</v>
      </c>
      <c r="H9" s="200">
        <v>2978</v>
      </c>
      <c r="I9" s="200">
        <v>3652</v>
      </c>
      <c r="J9" s="200">
        <v>4024</v>
      </c>
      <c r="K9" s="200">
        <v>3664</v>
      </c>
      <c r="L9" s="424">
        <v>2578</v>
      </c>
      <c r="M9" s="200">
        <v>2465</v>
      </c>
      <c r="N9" s="200">
        <v>2322</v>
      </c>
      <c r="O9" s="200">
        <v>2263</v>
      </c>
      <c r="P9" s="200">
        <v>2250</v>
      </c>
      <c r="Q9" s="200">
        <v>2280</v>
      </c>
      <c r="R9" s="200">
        <v>2300</v>
      </c>
    </row>
    <row r="10" spans="1:18" ht="24">
      <c r="A10" s="383"/>
      <c r="B10" s="65" t="s">
        <v>590</v>
      </c>
      <c r="C10" s="200" t="s">
        <v>589</v>
      </c>
      <c r="D10" s="200">
        <f t="shared" ref="D10:R10" si="0">D8-D9</f>
        <v>45593</v>
      </c>
      <c r="E10" s="200">
        <f t="shared" si="0"/>
        <v>57397</v>
      </c>
      <c r="F10" s="200">
        <f t="shared" si="0"/>
        <v>60050</v>
      </c>
      <c r="G10" s="200">
        <f t="shared" si="0"/>
        <v>67285</v>
      </c>
      <c r="H10" s="200">
        <f t="shared" si="0"/>
        <v>72395</v>
      </c>
      <c r="I10" s="200">
        <f t="shared" si="0"/>
        <v>72297</v>
      </c>
      <c r="J10" s="200">
        <f t="shared" si="0"/>
        <v>66199</v>
      </c>
      <c r="K10" s="200">
        <f t="shared" si="0"/>
        <v>53794</v>
      </c>
      <c r="L10" s="424">
        <f t="shared" si="0"/>
        <v>42597</v>
      </c>
      <c r="M10" s="200">
        <f t="shared" si="0"/>
        <v>44049</v>
      </c>
      <c r="N10" s="200">
        <f t="shared" si="0"/>
        <v>50443</v>
      </c>
      <c r="O10" s="200">
        <f t="shared" si="0"/>
        <v>56849</v>
      </c>
      <c r="P10" s="200">
        <f t="shared" si="0"/>
        <v>63599</v>
      </c>
      <c r="Q10" s="200">
        <f t="shared" si="0"/>
        <v>71477</v>
      </c>
      <c r="R10" s="200">
        <f t="shared" si="0"/>
        <v>79798</v>
      </c>
    </row>
    <row r="11" spans="1:18">
      <c r="A11" s="383"/>
      <c r="B11" s="60"/>
      <c r="C11" s="200"/>
      <c r="D11" s="200"/>
      <c r="E11" s="200"/>
      <c r="F11" s="200"/>
      <c r="G11" s="200"/>
      <c r="H11" s="200"/>
      <c r="I11" s="200"/>
      <c r="J11" s="200"/>
      <c r="K11" s="200"/>
      <c r="L11" s="424"/>
      <c r="M11" s="200"/>
      <c r="N11" s="200"/>
      <c r="O11" s="200"/>
      <c r="P11" s="200"/>
      <c r="Q11" s="200"/>
      <c r="R11" s="200"/>
    </row>
    <row r="12" spans="1:18">
      <c r="A12" s="389" t="s">
        <v>140</v>
      </c>
      <c r="B12" s="389" t="s">
        <v>588</v>
      </c>
      <c r="C12" s="200"/>
      <c r="D12" s="200"/>
      <c r="E12" s="200"/>
      <c r="F12" s="200"/>
      <c r="G12" s="200"/>
      <c r="H12" s="200"/>
      <c r="I12" s="200"/>
      <c r="J12" s="200"/>
      <c r="K12" s="200"/>
      <c r="L12" s="424"/>
      <c r="M12" s="200"/>
      <c r="N12" s="200"/>
      <c r="O12" s="200"/>
      <c r="P12" s="200"/>
      <c r="Q12" s="200"/>
      <c r="R12" s="200"/>
    </row>
    <row r="13" spans="1:18" ht="24">
      <c r="A13" s="383"/>
      <c r="B13" s="65" t="s">
        <v>587</v>
      </c>
      <c r="C13" s="200" t="s">
        <v>586</v>
      </c>
      <c r="D13" s="200"/>
      <c r="E13" s="200">
        <v>167</v>
      </c>
      <c r="F13" s="200">
        <v>630</v>
      </c>
      <c r="G13" s="200">
        <v>710</v>
      </c>
      <c r="H13" s="200">
        <v>782</v>
      </c>
      <c r="I13" s="200">
        <v>1011</v>
      </c>
      <c r="J13" s="200">
        <v>1240</v>
      </c>
      <c r="K13" s="200">
        <v>1306</v>
      </c>
      <c r="L13" s="424">
        <v>1203</v>
      </c>
      <c r="M13" s="200">
        <v>1194</v>
      </c>
      <c r="N13" s="200">
        <v>1154</v>
      </c>
      <c r="O13" s="200">
        <v>1157</v>
      </c>
      <c r="P13" s="200">
        <v>1138</v>
      </c>
      <c r="Q13" s="200">
        <v>1201</v>
      </c>
      <c r="R13" s="200">
        <v>1307</v>
      </c>
    </row>
    <row r="14" spans="1:18" ht="24">
      <c r="A14" s="383"/>
      <c r="B14" s="60" t="s">
        <v>585</v>
      </c>
      <c r="C14" s="62" t="s">
        <v>524</v>
      </c>
      <c r="D14" s="200"/>
      <c r="E14" s="200">
        <f>'a-12'!D50</f>
        <v>1256</v>
      </c>
      <c r="F14" s="200">
        <f>'a-12'!E50</f>
        <v>1650</v>
      </c>
      <c r="G14" s="200">
        <f>'a-12'!F50</f>
        <v>1950</v>
      </c>
      <c r="H14" s="200">
        <f>'a-12'!G50</f>
        <v>2250</v>
      </c>
      <c r="I14" s="200">
        <f>'a-12'!H50</f>
        <v>2391</v>
      </c>
      <c r="J14" s="200">
        <f>'a-12'!I50</f>
        <v>2365</v>
      </c>
      <c r="K14" s="200">
        <f>'a-12'!J50</f>
        <v>2918</v>
      </c>
      <c r="L14" s="424">
        <f>'a-12'!K50</f>
        <v>1716</v>
      </c>
      <c r="M14" s="200">
        <f>'a-12'!L50</f>
        <v>1694</v>
      </c>
      <c r="N14" s="200">
        <f>'a-12'!M50</f>
        <v>1982</v>
      </c>
      <c r="O14" s="200">
        <f>'a-12'!N50</f>
        <v>2187</v>
      </c>
      <c r="P14" s="200">
        <f>'a-12'!O50</f>
        <v>2387</v>
      </c>
      <c r="Q14" s="200">
        <f>'a-12'!P50</f>
        <v>2622</v>
      </c>
      <c r="R14" s="200">
        <f>'a-12'!Q50</f>
        <v>2713</v>
      </c>
    </row>
    <row r="15" spans="1:18">
      <c r="A15" s="383"/>
      <c r="B15" s="388" t="s">
        <v>584</v>
      </c>
      <c r="C15" s="200"/>
      <c r="D15" s="200"/>
      <c r="E15" s="387"/>
      <c r="F15" s="387"/>
      <c r="G15" s="387"/>
      <c r="H15" s="387"/>
      <c r="I15" s="387"/>
      <c r="J15" s="387"/>
      <c r="K15" s="387"/>
      <c r="L15" s="533"/>
      <c r="M15" s="387"/>
      <c r="N15" s="387"/>
      <c r="O15" s="387"/>
      <c r="P15" s="387"/>
      <c r="Q15" s="387"/>
      <c r="R15" s="387"/>
    </row>
    <row r="16" spans="1:18" ht="24">
      <c r="A16" s="383"/>
      <c r="B16" s="60" t="s">
        <v>583</v>
      </c>
      <c r="C16" s="200" t="s">
        <v>582</v>
      </c>
      <c r="D16" s="200"/>
      <c r="E16" s="200">
        <v>1019</v>
      </c>
      <c r="F16" s="200">
        <v>1327</v>
      </c>
      <c r="G16" s="200">
        <v>1594</v>
      </c>
      <c r="H16" s="200">
        <v>1873</v>
      </c>
      <c r="I16" s="200">
        <v>1985</v>
      </c>
      <c r="J16" s="200">
        <v>1961</v>
      </c>
      <c r="K16" s="200">
        <v>1828</v>
      </c>
      <c r="L16" s="424">
        <v>1406</v>
      </c>
      <c r="M16" s="200">
        <v>1389</v>
      </c>
      <c r="N16" s="200">
        <v>1646</v>
      </c>
      <c r="O16" s="200">
        <v>1836</v>
      </c>
      <c r="P16" s="200">
        <v>2024</v>
      </c>
      <c r="Q16" s="200">
        <v>2233</v>
      </c>
      <c r="R16" s="200">
        <v>2490</v>
      </c>
    </row>
    <row r="17" spans="1:18" ht="24">
      <c r="A17" s="383"/>
      <c r="B17" s="65" t="s">
        <v>581</v>
      </c>
      <c r="C17" s="200" t="s">
        <v>580</v>
      </c>
      <c r="D17" s="200">
        <v>44956</v>
      </c>
      <c r="E17" s="386">
        <f t="shared" ref="E17:R17" si="1">E10-E13-E14+E16</f>
        <v>56993</v>
      </c>
      <c r="F17" s="386">
        <f t="shared" si="1"/>
        <v>59097</v>
      </c>
      <c r="G17" s="386">
        <f t="shared" si="1"/>
        <v>66219</v>
      </c>
      <c r="H17" s="386">
        <f t="shared" si="1"/>
        <v>71236</v>
      </c>
      <c r="I17" s="386">
        <f t="shared" si="1"/>
        <v>70880</v>
      </c>
      <c r="J17" s="386">
        <f t="shared" si="1"/>
        <v>64555</v>
      </c>
      <c r="K17" s="386">
        <f t="shared" si="1"/>
        <v>51398</v>
      </c>
      <c r="L17" s="534">
        <f t="shared" si="1"/>
        <v>41084</v>
      </c>
      <c r="M17" s="386">
        <f t="shared" si="1"/>
        <v>42550</v>
      </c>
      <c r="N17" s="386">
        <f t="shared" si="1"/>
        <v>48953</v>
      </c>
      <c r="O17" s="386">
        <f t="shared" si="1"/>
        <v>55341</v>
      </c>
      <c r="P17" s="386">
        <f t="shared" si="1"/>
        <v>62098</v>
      </c>
      <c r="Q17" s="386">
        <f t="shared" si="1"/>
        <v>69887</v>
      </c>
      <c r="R17" s="386">
        <f t="shared" si="1"/>
        <v>78268</v>
      </c>
    </row>
    <row r="18" spans="1:18" ht="36">
      <c r="A18" s="383"/>
      <c r="B18" s="65" t="s">
        <v>579</v>
      </c>
      <c r="C18" s="200" t="s">
        <v>578</v>
      </c>
      <c r="D18" s="203">
        <v>44956</v>
      </c>
      <c r="E18" s="203">
        <v>56993</v>
      </c>
      <c r="F18" s="203">
        <v>59096</v>
      </c>
      <c r="G18" s="203">
        <v>66219</v>
      </c>
      <c r="H18" s="203">
        <v>71236</v>
      </c>
      <c r="I18" s="203">
        <v>70880</v>
      </c>
      <c r="J18" s="203">
        <v>64589</v>
      </c>
      <c r="K18" s="203">
        <v>52006</v>
      </c>
      <c r="L18" s="535">
        <v>41086</v>
      </c>
      <c r="M18" s="203">
        <v>42552</v>
      </c>
      <c r="N18" s="203">
        <v>48953</v>
      </c>
      <c r="O18" s="203">
        <v>55341</v>
      </c>
      <c r="P18" s="203">
        <v>62098</v>
      </c>
      <c r="Q18" s="203">
        <v>69887</v>
      </c>
      <c r="R18" s="203">
        <v>78268</v>
      </c>
    </row>
    <row r="19" spans="1:18">
      <c r="A19" s="383"/>
      <c r="B19" s="63"/>
      <c r="C19" s="200"/>
      <c r="D19" s="203"/>
      <c r="E19" s="385"/>
      <c r="F19" s="385"/>
      <c r="G19" s="385"/>
      <c r="H19" s="385"/>
      <c r="I19" s="385"/>
      <c r="J19" s="385"/>
      <c r="K19" s="385"/>
      <c r="L19" s="536"/>
      <c r="M19" s="385"/>
      <c r="N19" s="385"/>
      <c r="O19" s="385"/>
      <c r="P19" s="385"/>
      <c r="Q19" s="385"/>
      <c r="R19" s="385"/>
    </row>
    <row r="20" spans="1:18">
      <c r="A20" s="64" t="s">
        <v>23</v>
      </c>
      <c r="B20" s="64" t="s">
        <v>577</v>
      </c>
      <c r="C20" s="200"/>
      <c r="D20" s="200"/>
      <c r="E20" s="200"/>
      <c r="F20" s="200"/>
      <c r="G20" s="200"/>
      <c r="H20" s="200"/>
      <c r="I20" s="200"/>
      <c r="J20" s="200"/>
      <c r="K20" s="200"/>
      <c r="L20" s="424"/>
      <c r="M20" s="200"/>
      <c r="N20" s="200"/>
      <c r="O20" s="200"/>
      <c r="P20" s="200"/>
      <c r="Q20" s="200"/>
      <c r="R20" s="200"/>
    </row>
    <row r="21" spans="1:18" ht="24">
      <c r="A21" s="383"/>
      <c r="B21" s="65" t="s">
        <v>576</v>
      </c>
      <c r="C21" s="200" t="s">
        <v>547</v>
      </c>
      <c r="D21" s="203">
        <v>100</v>
      </c>
      <c r="E21" s="384">
        <f>'a-12'!D27</f>
        <v>163</v>
      </c>
      <c r="F21" s="384">
        <f>'a-12'!E27</f>
        <v>221.48456608567415</v>
      </c>
      <c r="G21" s="384">
        <f>'a-12'!F27</f>
        <v>333.37625801603093</v>
      </c>
      <c r="H21" s="384">
        <f>'a-12'!G27</f>
        <v>477.17734005470737</v>
      </c>
      <c r="I21" s="384">
        <f>'a-12'!H27</f>
        <v>695.75821027337361</v>
      </c>
      <c r="J21" s="384">
        <f>'a-12'!I27</f>
        <v>841.10957407567003</v>
      </c>
      <c r="K21" s="384">
        <f>'a-12'!J27</f>
        <v>906.03536433605609</v>
      </c>
      <c r="L21" s="537">
        <f>'a-12'!K27</f>
        <v>827.34550556750082</v>
      </c>
      <c r="M21" s="384">
        <f>'a-12'!L27</f>
        <v>849.29996932724316</v>
      </c>
      <c r="N21" s="384">
        <f>'a-12'!M27</f>
        <v>908.73943041728967</v>
      </c>
      <c r="O21" s="384">
        <f>'a-12'!N27</f>
        <v>1079.4958463337791</v>
      </c>
      <c r="P21" s="384">
        <f>'a-12'!O27</f>
        <v>1222.8453381462887</v>
      </c>
      <c r="Q21" s="384">
        <f>'a-12'!P27</f>
        <v>1366.4176457562737</v>
      </c>
      <c r="R21" s="384">
        <f>'a-12'!Q27</f>
        <v>1660.7840651714284</v>
      </c>
    </row>
    <row r="22" spans="1:18" ht="36">
      <c r="A22" s="383"/>
      <c r="B22" s="65" t="s">
        <v>575</v>
      </c>
      <c r="C22" s="200" t="s">
        <v>574</v>
      </c>
      <c r="D22" s="200">
        <f t="shared" ref="D22:R22" si="2">D10-D21</f>
        <v>45493</v>
      </c>
      <c r="E22" s="200">
        <f t="shared" si="2"/>
        <v>57234</v>
      </c>
      <c r="F22" s="200">
        <f t="shared" si="2"/>
        <v>59828.515433914326</v>
      </c>
      <c r="G22" s="200">
        <f t="shared" si="2"/>
        <v>66951.623741983974</v>
      </c>
      <c r="H22" s="200">
        <f t="shared" si="2"/>
        <v>71917.82265994529</v>
      </c>
      <c r="I22" s="200">
        <f t="shared" si="2"/>
        <v>71601.241789726628</v>
      </c>
      <c r="J22" s="200">
        <f t="shared" si="2"/>
        <v>65357.890425924328</v>
      </c>
      <c r="K22" s="200">
        <f t="shared" si="2"/>
        <v>52887.964635663942</v>
      </c>
      <c r="L22" s="424">
        <f t="shared" si="2"/>
        <v>41769.6544944325</v>
      </c>
      <c r="M22" s="200">
        <f t="shared" si="2"/>
        <v>43199.700030672757</v>
      </c>
      <c r="N22" s="200">
        <f t="shared" si="2"/>
        <v>49534.260569582708</v>
      </c>
      <c r="O22" s="61">
        <f t="shared" si="2"/>
        <v>55769.504153666217</v>
      </c>
      <c r="P22" s="200">
        <f t="shared" si="2"/>
        <v>62376.15466185371</v>
      </c>
      <c r="Q22" s="200">
        <f t="shared" si="2"/>
        <v>70110.582354243728</v>
      </c>
      <c r="R22" s="200">
        <f t="shared" si="2"/>
        <v>78137.215934828579</v>
      </c>
    </row>
    <row r="23" spans="1:18" ht="3.75" customHeight="1" thickBo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399"/>
      <c r="M23" s="100"/>
      <c r="N23" s="100"/>
      <c r="O23" s="100"/>
      <c r="P23" s="100"/>
      <c r="Q23" s="100"/>
      <c r="R23" s="100"/>
    </row>
    <row r="24" spans="1:18" ht="13" thickTop="1"/>
    <row r="25" spans="1:18">
      <c r="B25" s="50"/>
      <c r="C25" s="52"/>
      <c r="D25" s="52"/>
      <c r="E25" s="93"/>
      <c r="F25" s="93"/>
      <c r="G25" s="93"/>
      <c r="H25" s="93"/>
      <c r="I25" s="93"/>
      <c r="J25" s="93"/>
      <c r="K25" s="93"/>
      <c r="L25" s="90"/>
      <c r="M25" s="93"/>
      <c r="N25" s="93"/>
      <c r="O25" s="93"/>
      <c r="P25" s="93"/>
      <c r="Q25" s="93"/>
      <c r="R25" s="93"/>
    </row>
    <row r="26" spans="1:18">
      <c r="A26" s="93"/>
      <c r="C26" s="52"/>
      <c r="D26" s="52"/>
      <c r="E26" s="93"/>
      <c r="F26" s="93"/>
      <c r="G26" s="93"/>
      <c r="H26" s="93"/>
      <c r="I26" s="93"/>
      <c r="J26" s="93"/>
      <c r="K26" s="93"/>
      <c r="L26" s="90"/>
      <c r="M26" s="93"/>
      <c r="N26" s="93"/>
      <c r="O26" s="110"/>
      <c r="P26" s="93"/>
      <c r="Q26" s="93"/>
      <c r="R26" s="93"/>
    </row>
    <row r="27" spans="1:18">
      <c r="B27" s="79"/>
      <c r="C27" s="47"/>
      <c r="D27" s="48"/>
      <c r="E27" s="47"/>
      <c r="F27" s="47"/>
      <c r="G27" s="47"/>
      <c r="H27" s="47"/>
      <c r="I27" s="47"/>
      <c r="J27" s="47"/>
      <c r="K27" s="47"/>
      <c r="L27" s="258"/>
      <c r="M27" s="47"/>
      <c r="N27" s="47"/>
      <c r="O27" s="47"/>
      <c r="P27" s="47"/>
      <c r="Q27" s="47"/>
      <c r="R27" s="47"/>
    </row>
    <row r="28" spans="1:18">
      <c r="B28" s="79"/>
      <c r="C28" s="47"/>
      <c r="D28" s="48"/>
      <c r="E28" s="47"/>
      <c r="F28" s="47"/>
      <c r="G28" s="47"/>
      <c r="H28" s="47"/>
      <c r="I28" s="47"/>
      <c r="J28" s="47"/>
      <c r="K28" s="47"/>
      <c r="L28" s="258"/>
      <c r="M28" s="47"/>
      <c r="N28" s="47"/>
      <c r="O28" s="47"/>
      <c r="P28" s="47"/>
      <c r="Q28" s="47"/>
      <c r="R28" s="47"/>
    </row>
    <row r="29" spans="1:18">
      <c r="B29" s="79"/>
      <c r="C29" s="47"/>
      <c r="D29" s="48"/>
      <c r="E29" s="47"/>
      <c r="F29" s="47"/>
      <c r="G29" s="47"/>
      <c r="H29" s="47"/>
      <c r="I29" s="47"/>
      <c r="J29" s="47"/>
      <c r="K29" s="47"/>
      <c r="L29" s="258"/>
      <c r="M29" s="47"/>
      <c r="N29" s="47"/>
      <c r="O29" s="47"/>
      <c r="P29" s="47"/>
      <c r="Q29" s="47"/>
      <c r="R29" s="47"/>
    </row>
    <row r="30" spans="1:18">
      <c r="B30" s="79"/>
      <c r="C30" s="47"/>
      <c r="D30" s="48"/>
      <c r="E30" s="47"/>
      <c r="F30" s="47"/>
      <c r="G30" s="47"/>
      <c r="H30" s="47"/>
      <c r="I30" s="47"/>
      <c r="J30" s="47"/>
      <c r="K30" s="47"/>
      <c r="L30" s="258"/>
      <c r="M30" s="47"/>
      <c r="N30" s="47"/>
      <c r="O30" s="47"/>
      <c r="P30" s="47"/>
      <c r="Q30" s="47"/>
      <c r="R30" s="47"/>
    </row>
    <row r="31" spans="1:18">
      <c r="B31" s="79"/>
      <c r="C31" s="47"/>
      <c r="D31" s="48"/>
      <c r="E31" s="47"/>
      <c r="F31" s="47"/>
      <c r="G31" s="47"/>
      <c r="H31" s="47"/>
      <c r="I31" s="47"/>
      <c r="J31" s="47"/>
      <c r="K31" s="47"/>
      <c r="L31" s="258"/>
      <c r="M31" s="47"/>
      <c r="N31" s="47"/>
      <c r="O31" s="47"/>
      <c r="P31" s="47"/>
      <c r="Q31" s="47"/>
      <c r="R31" s="47"/>
    </row>
    <row r="32" spans="1:18">
      <c r="B32" s="79"/>
      <c r="C32" s="47"/>
      <c r="D32" s="48"/>
      <c r="E32" s="47"/>
      <c r="F32" s="47"/>
      <c r="G32" s="47"/>
      <c r="H32" s="47"/>
      <c r="I32" s="47"/>
      <c r="J32" s="47"/>
      <c r="K32" s="47"/>
      <c r="L32" s="258"/>
      <c r="M32" s="47"/>
      <c r="N32" s="47"/>
      <c r="O32" s="47"/>
      <c r="P32" s="47"/>
      <c r="Q32" s="47"/>
      <c r="R32" s="47"/>
    </row>
    <row r="33" spans="2:18">
      <c r="B33" s="79"/>
      <c r="C33" s="46"/>
      <c r="D33" s="48"/>
      <c r="E33" s="47"/>
      <c r="F33" s="47"/>
      <c r="G33" s="47"/>
      <c r="H33" s="47"/>
      <c r="I33" s="47"/>
      <c r="J33" s="47"/>
      <c r="K33" s="47"/>
      <c r="L33" s="258"/>
      <c r="M33" s="47"/>
      <c r="N33" s="47"/>
      <c r="O33" s="47"/>
      <c r="P33" s="47"/>
      <c r="Q33" s="47"/>
      <c r="R33" s="47"/>
    </row>
    <row r="34" spans="2:18">
      <c r="B34" s="79"/>
      <c r="C34" s="47"/>
      <c r="D34" s="47"/>
      <c r="E34" s="47"/>
      <c r="F34" s="47"/>
      <c r="G34" s="47"/>
      <c r="H34" s="47"/>
      <c r="I34" s="47"/>
      <c r="J34" s="47"/>
      <c r="K34" s="47"/>
      <c r="L34" s="258"/>
      <c r="M34" s="47"/>
      <c r="N34" s="47"/>
      <c r="O34" s="47"/>
      <c r="P34" s="47"/>
      <c r="Q34" s="47"/>
      <c r="R34" s="47"/>
    </row>
    <row r="35" spans="2:18">
      <c r="B35" s="79"/>
      <c r="C35" s="47"/>
      <c r="D35" s="48"/>
      <c r="E35" s="48"/>
      <c r="F35" s="48"/>
      <c r="G35" s="48"/>
      <c r="H35" s="48"/>
      <c r="I35" s="48"/>
      <c r="J35" s="48"/>
      <c r="K35" s="48"/>
      <c r="L35" s="393"/>
      <c r="M35" s="48"/>
      <c r="N35" s="48"/>
      <c r="O35" s="48"/>
      <c r="P35" s="48"/>
      <c r="Q35" s="48"/>
      <c r="R35" s="48"/>
    </row>
    <row r="36" spans="2:18">
      <c r="B36" s="79"/>
      <c r="C36" s="46"/>
      <c r="D36" s="48"/>
      <c r="E36" s="48"/>
      <c r="F36" s="48"/>
      <c r="G36" s="48"/>
      <c r="H36" s="48"/>
      <c r="I36" s="48"/>
      <c r="J36" s="48"/>
      <c r="K36" s="48"/>
      <c r="L36" s="393"/>
      <c r="M36" s="48"/>
      <c r="N36" s="48"/>
      <c r="O36" s="48"/>
      <c r="P36" s="48"/>
      <c r="Q36" s="48"/>
      <c r="R36" s="48"/>
    </row>
  </sheetData>
  <sheetProtection sheet="1" objects="1" scenarios="1"/>
  <printOptions horizontalCentered="1"/>
  <pageMargins left="0.39370078740157483" right="0.78740157480314965" top="0.98425196850393704" bottom="0.5511811023622047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E11" sqref="E11"/>
    </sheetView>
  </sheetViews>
  <sheetFormatPr baseColWidth="10" defaultRowHeight="12" x14ac:dyDescent="0"/>
  <cols>
    <col min="1" max="1" width="2.5" style="2" customWidth="1"/>
    <col min="2" max="2" width="19.5" style="2" customWidth="1"/>
    <col min="3" max="3" width="7.6640625" style="2" customWidth="1"/>
    <col min="4" max="4" width="7.33203125" style="2" customWidth="1"/>
    <col min="5" max="17" width="6.83203125" style="2" customWidth="1"/>
    <col min="18" max="16384" width="10.83203125" style="2"/>
  </cols>
  <sheetData>
    <row r="1" spans="1:17">
      <c r="A1" s="102" t="s">
        <v>607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B2" s="102"/>
      <c r="C2" s="10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>
      <c r="A3" s="102" t="s">
        <v>606</v>
      </c>
      <c r="C3" s="10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13" thickBot="1">
      <c r="B4" s="399"/>
      <c r="C4" s="3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s="115" customFormat="1" ht="18.75" customHeight="1" thickTop="1" thickBot="1">
      <c r="A5" s="391"/>
      <c r="B5" s="391"/>
      <c r="C5" s="391"/>
      <c r="D5" s="391">
        <v>1925</v>
      </c>
      <c r="E5" s="391">
        <v>1926</v>
      </c>
      <c r="F5" s="391">
        <v>1927</v>
      </c>
      <c r="G5" s="391">
        <v>1928</v>
      </c>
      <c r="H5" s="391">
        <v>1929</v>
      </c>
      <c r="I5" s="391">
        <v>1930</v>
      </c>
      <c r="J5" s="391">
        <v>1931</v>
      </c>
      <c r="K5" s="391">
        <v>1932</v>
      </c>
      <c r="L5" s="391">
        <v>1933</v>
      </c>
      <c r="M5" s="391">
        <v>1934</v>
      </c>
      <c r="N5" s="391">
        <v>1935</v>
      </c>
      <c r="O5" s="391">
        <v>1936</v>
      </c>
      <c r="P5" s="391">
        <v>1937</v>
      </c>
      <c r="Q5" s="391">
        <v>1938</v>
      </c>
    </row>
    <row r="6" spans="1:17" s="51" customFormat="1" ht="3.75" customHeight="1" thickTop="1">
      <c r="A6" s="39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>
      <c r="A7" s="102" t="s">
        <v>38</v>
      </c>
      <c r="B7" s="102" t="s">
        <v>605</v>
      </c>
      <c r="C7" s="200" t="s">
        <v>574</v>
      </c>
      <c r="D7" s="201">
        <f>'b-1d'!E22</f>
        <v>57234</v>
      </c>
      <c r="E7" s="201">
        <f>'b-1d'!F22</f>
        <v>59828.515433914326</v>
      </c>
      <c r="F7" s="201">
        <f>'b-1d'!G22</f>
        <v>66951.623741983974</v>
      </c>
      <c r="G7" s="201">
        <f>'b-1d'!H22</f>
        <v>71917.82265994529</v>
      </c>
      <c r="H7" s="201">
        <f>'b-1d'!I22</f>
        <v>71601.241789726628</v>
      </c>
      <c r="I7" s="201">
        <f>'b-1d'!J22</f>
        <v>65357.890425924328</v>
      </c>
      <c r="J7" s="201">
        <f>'b-1d'!K22</f>
        <v>52887.964635663942</v>
      </c>
      <c r="K7" s="201">
        <f>'b-1d'!L22</f>
        <v>41769.6544944325</v>
      </c>
      <c r="L7" s="201">
        <f>'b-1d'!M22</f>
        <v>43199.700030672757</v>
      </c>
      <c r="M7" s="201">
        <f>'b-1d'!N22</f>
        <v>49534.260569582708</v>
      </c>
      <c r="N7" s="201">
        <f>'b-1d'!O22</f>
        <v>55769.504153666217</v>
      </c>
      <c r="O7" s="201">
        <f>'b-1d'!P22</f>
        <v>62376.15466185371</v>
      </c>
      <c r="P7" s="201">
        <f>'b-1d'!Q22</f>
        <v>70110.582354243728</v>
      </c>
      <c r="Q7" s="201">
        <f>'b-1d'!R22</f>
        <v>78137.215934828579</v>
      </c>
    </row>
    <row r="8" spans="1:17" ht="24">
      <c r="A8" s="383"/>
      <c r="B8" s="398" t="s">
        <v>604</v>
      </c>
      <c r="C8" s="200" t="s">
        <v>530</v>
      </c>
      <c r="D8" s="201">
        <f>'a-12'!D47</f>
        <v>2975.9</v>
      </c>
      <c r="E8" s="201">
        <f>'a-12'!E47</f>
        <v>3020.7</v>
      </c>
      <c r="F8" s="201">
        <f>'a-12'!F47</f>
        <v>3685.8</v>
      </c>
      <c r="G8" s="201">
        <f>'a-12'!G47</f>
        <v>4223.6000000000004</v>
      </c>
      <c r="H8" s="201">
        <f>'a-12'!H47</f>
        <v>4234.6000000000004</v>
      </c>
      <c r="I8" s="201">
        <f>'a-12'!I47</f>
        <v>4396.1000000000004</v>
      </c>
      <c r="J8" s="201">
        <f>'a-12'!J47</f>
        <v>3550.2</v>
      </c>
      <c r="K8" s="201">
        <f>'a-12'!K47</f>
        <v>2588.8000000000002</v>
      </c>
      <c r="L8" s="201">
        <f>'a-12'!L47</f>
        <v>2286.9</v>
      </c>
      <c r="M8" s="201">
        <f>'a-12'!M47</f>
        <v>2736.9</v>
      </c>
      <c r="N8" s="201">
        <f>'a-12'!N47</f>
        <v>3785</v>
      </c>
      <c r="O8" s="201">
        <f>'a-12'!O47</f>
        <v>5034.8</v>
      </c>
      <c r="P8" s="201">
        <f>'a-12'!P47</f>
        <v>6553.5</v>
      </c>
      <c r="Q8" s="201">
        <f>'a-12'!Q47</f>
        <v>8573.2000000000007</v>
      </c>
    </row>
    <row r="9" spans="1:17" ht="24">
      <c r="A9" s="383"/>
      <c r="B9" s="397" t="s">
        <v>603</v>
      </c>
      <c r="C9" s="200" t="s">
        <v>526</v>
      </c>
      <c r="D9" s="201">
        <f>'a-12'!D49</f>
        <v>2550.5</v>
      </c>
      <c r="E9" s="201">
        <f>'a-12'!E49</f>
        <v>2933.7</v>
      </c>
      <c r="F9" s="201">
        <f>'a-12'!F49</f>
        <v>4200.2</v>
      </c>
      <c r="G9" s="201">
        <f>'a-12'!G49</f>
        <v>4890.2</v>
      </c>
      <c r="H9" s="201">
        <f>'a-12'!H49</f>
        <v>5173.6000000000004</v>
      </c>
      <c r="I9" s="201">
        <f>'a-12'!I49</f>
        <v>5042.8</v>
      </c>
      <c r="J9" s="201">
        <f>'a-12'!J49</f>
        <v>4559.3999999999996</v>
      </c>
      <c r="K9" s="201">
        <f>'a-12'!K49</f>
        <v>3736.5</v>
      </c>
      <c r="L9" s="201">
        <f>'a-12'!L49</f>
        <v>3990.1</v>
      </c>
      <c r="M9" s="201">
        <f>'a-12'!M49</f>
        <v>4426.7</v>
      </c>
      <c r="N9" s="201">
        <f>'a-12'!N49</f>
        <v>4508.7</v>
      </c>
      <c r="O9" s="201">
        <f>'a-12'!O49</f>
        <v>4941.2</v>
      </c>
      <c r="P9" s="201">
        <f>'a-12'!P49</f>
        <v>5471.8</v>
      </c>
      <c r="Q9" s="201">
        <f>'a-12'!Q49</f>
        <v>5824.8</v>
      </c>
    </row>
    <row r="10" spans="1:17" ht="36">
      <c r="A10" s="383"/>
      <c r="B10" s="398" t="s">
        <v>602</v>
      </c>
      <c r="C10" s="200" t="s">
        <v>547</v>
      </c>
      <c r="D10" s="201">
        <f>'a-12'!D27</f>
        <v>163</v>
      </c>
      <c r="E10" s="201">
        <f>'a-12'!E27</f>
        <v>221.48456608567415</v>
      </c>
      <c r="F10" s="201">
        <f>'a-12'!F27</f>
        <v>333.37625801603093</v>
      </c>
      <c r="G10" s="201">
        <f>'a-12'!G27</f>
        <v>477.17734005470737</v>
      </c>
      <c r="H10" s="201">
        <f>'a-12'!H27</f>
        <v>695.75821027337361</v>
      </c>
      <c r="I10" s="201">
        <f>'a-12'!I27</f>
        <v>841.10957407567003</v>
      </c>
      <c r="J10" s="201">
        <f>'a-12'!J27</f>
        <v>906.03536433605609</v>
      </c>
      <c r="K10" s="201">
        <f>'a-12'!K27</f>
        <v>827.34550556750082</v>
      </c>
      <c r="L10" s="201">
        <f>'a-12'!L27</f>
        <v>849.29996932724316</v>
      </c>
      <c r="M10" s="201">
        <f>'a-12'!M27</f>
        <v>908.73943041728967</v>
      </c>
      <c r="N10" s="201">
        <f>'a-12'!N27</f>
        <v>1079.4958463337791</v>
      </c>
      <c r="O10" s="201">
        <f>'a-12'!O27</f>
        <v>1222.8453381462887</v>
      </c>
      <c r="P10" s="201">
        <f>'a-12'!P27</f>
        <v>1366.4176457562737</v>
      </c>
      <c r="Q10" s="201">
        <f>'a-12'!Q27</f>
        <v>1660.7840651714284</v>
      </c>
    </row>
    <row r="11" spans="1:17" ht="36">
      <c r="A11" s="383"/>
      <c r="B11" s="397" t="s">
        <v>601</v>
      </c>
      <c r="C11" s="200" t="s">
        <v>545</v>
      </c>
      <c r="D11" s="201">
        <f>'a-12'!D28</f>
        <v>5334</v>
      </c>
      <c r="E11" s="201">
        <f>'a-12'!E28</f>
        <v>6899</v>
      </c>
      <c r="F11" s="201">
        <f>'a-12'!F28</f>
        <v>7193</v>
      </c>
      <c r="G11" s="201">
        <f>'a-12'!G28</f>
        <v>8215</v>
      </c>
      <c r="H11" s="201">
        <f>'a-12'!H28</f>
        <v>8970</v>
      </c>
      <c r="I11" s="201">
        <f>'a-12'!I28</f>
        <v>9776</v>
      </c>
      <c r="J11" s="201">
        <f>'a-12'!J28</f>
        <v>9862</v>
      </c>
      <c r="K11" s="201">
        <f>'a-12'!K28</f>
        <v>9140</v>
      </c>
      <c r="L11" s="201">
        <f>'a-12'!L28</f>
        <v>8282</v>
      </c>
      <c r="M11" s="201">
        <f>'a-12'!M28</f>
        <v>7665</v>
      </c>
      <c r="N11" s="201">
        <f>'a-12'!N28</f>
        <v>7672</v>
      </c>
      <c r="O11" s="201">
        <f>'a-12'!O28</f>
        <v>7542</v>
      </c>
      <c r="P11" s="201">
        <f>'a-12'!P28</f>
        <v>7350</v>
      </c>
      <c r="Q11" s="201">
        <f>'a-12'!Q28</f>
        <v>7719</v>
      </c>
    </row>
    <row r="12" spans="1:17" ht="38.25" customHeight="1">
      <c r="A12" s="396" t="s">
        <v>600</v>
      </c>
      <c r="B12" s="395" t="s">
        <v>599</v>
      </c>
      <c r="C12" s="200" t="s">
        <v>598</v>
      </c>
      <c r="D12" s="201">
        <f t="shared" ref="D12:Q12" si="0">D7-D8-D9+D10+D11</f>
        <v>57204.6</v>
      </c>
      <c r="E12" s="201">
        <f t="shared" si="0"/>
        <v>60994.600000000006</v>
      </c>
      <c r="F12" s="201">
        <f t="shared" si="0"/>
        <v>66592</v>
      </c>
      <c r="G12" s="201">
        <f t="shared" si="0"/>
        <v>71496.2</v>
      </c>
      <c r="H12" s="201">
        <f t="shared" si="0"/>
        <v>71858.799999999988</v>
      </c>
      <c r="I12" s="201">
        <f t="shared" si="0"/>
        <v>66536.100000000006</v>
      </c>
      <c r="J12" s="201">
        <f t="shared" si="0"/>
        <v>55546.400000000001</v>
      </c>
      <c r="K12" s="201">
        <f t="shared" si="0"/>
        <v>45411.7</v>
      </c>
      <c r="L12" s="201">
        <f t="shared" si="0"/>
        <v>46054</v>
      </c>
      <c r="M12" s="201">
        <f t="shared" si="0"/>
        <v>50944.4</v>
      </c>
      <c r="N12" s="201">
        <f t="shared" si="0"/>
        <v>56227.3</v>
      </c>
      <c r="O12" s="201">
        <f t="shared" si="0"/>
        <v>61165</v>
      </c>
      <c r="P12" s="201">
        <f t="shared" si="0"/>
        <v>66801.7</v>
      </c>
      <c r="Q12" s="201">
        <f t="shared" si="0"/>
        <v>73119</v>
      </c>
    </row>
    <row r="13" spans="1:17" ht="3.75" customHeight="1" thickBo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1:17" ht="13" thickTop="1">
      <c r="J14" s="93"/>
      <c r="K14" s="93"/>
      <c r="L14" s="93"/>
      <c r="M14" s="93"/>
      <c r="N14" s="93"/>
      <c r="O14" s="93"/>
      <c r="P14" s="93"/>
      <c r="Q14" s="93"/>
    </row>
    <row r="15" spans="1:17">
      <c r="B15" s="93"/>
      <c r="E15" s="93"/>
      <c r="F15" s="93"/>
      <c r="G15" s="93"/>
      <c r="H15" s="93"/>
      <c r="I15" s="93"/>
      <c r="J15" s="52"/>
      <c r="K15" s="52"/>
      <c r="L15" s="52"/>
      <c r="M15" s="52"/>
      <c r="N15" s="52"/>
      <c r="O15" s="52"/>
      <c r="P15" s="52"/>
      <c r="Q15" s="52"/>
    </row>
    <row r="16" spans="1:17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2:17">
      <c r="B17" s="50"/>
      <c r="C17" s="249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</row>
    <row r="18" spans="2:17"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</sheetData>
  <sheetProtection sheet="1" objects="1" scenarios="1"/>
  <printOptions verticalCentered="1"/>
  <pageMargins left="0.78740157480314965" right="0.78740157480314965" top="0.59055118110236227" bottom="0.9842519685039370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F25" sqref="F25"/>
    </sheetView>
  </sheetViews>
  <sheetFormatPr baseColWidth="10" defaultRowHeight="12" x14ac:dyDescent="0"/>
  <cols>
    <col min="1" max="1" width="3.83203125" style="2" customWidth="1"/>
    <col min="2" max="2" width="21.83203125" style="2" customWidth="1"/>
    <col min="3" max="3" width="6.6640625" style="2" customWidth="1"/>
    <col min="4" max="4" width="7.5" style="2" customWidth="1"/>
    <col min="5" max="13" width="6.5" style="2" customWidth="1"/>
    <col min="14" max="17" width="6.1640625" style="2" customWidth="1"/>
    <col min="18" max="16384" width="10.83203125" style="2"/>
  </cols>
  <sheetData>
    <row r="1" spans="1:19">
      <c r="A1" s="393" t="s">
        <v>629</v>
      </c>
      <c r="C1" s="48"/>
      <c r="D1" s="48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</row>
    <row r="2" spans="1:19">
      <c r="A2" s="393"/>
      <c r="C2" s="407"/>
      <c r="D2" s="48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9">
      <c r="A3" s="408" t="s">
        <v>628</v>
      </c>
      <c r="C3" s="407"/>
      <c r="D3" s="48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</row>
    <row r="4" spans="1:19" ht="13" thickBot="1">
      <c r="B4" s="48"/>
      <c r="C4" s="48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</row>
    <row r="5" spans="1:19" s="115" customFormat="1" ht="18.75" customHeight="1" thickTop="1" thickBot="1">
      <c r="A5" s="391"/>
      <c r="B5" s="391"/>
      <c r="C5" s="391"/>
      <c r="D5" s="391">
        <v>1925</v>
      </c>
      <c r="E5" s="391">
        <v>1926</v>
      </c>
      <c r="F5" s="391">
        <v>1927</v>
      </c>
      <c r="G5" s="391">
        <v>1928</v>
      </c>
      <c r="H5" s="391">
        <v>1929</v>
      </c>
      <c r="I5" s="391">
        <v>1930</v>
      </c>
      <c r="J5" s="391">
        <v>1931</v>
      </c>
      <c r="K5" s="391">
        <v>1932</v>
      </c>
      <c r="L5" s="391">
        <v>1933</v>
      </c>
      <c r="M5" s="391">
        <v>1934</v>
      </c>
      <c r="N5" s="391">
        <v>1935</v>
      </c>
      <c r="O5" s="391">
        <v>1936</v>
      </c>
      <c r="P5" s="391">
        <v>1937</v>
      </c>
      <c r="Q5" s="391">
        <v>1938</v>
      </c>
    </row>
    <row r="6" spans="1:19" s="51" customFormat="1" ht="3.75" customHeight="1" thickTop="1">
      <c r="A6" s="390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9">
      <c r="A7" s="403" t="s">
        <v>38</v>
      </c>
      <c r="B7" s="403" t="s">
        <v>627</v>
      </c>
      <c r="C7" s="200" t="s">
        <v>626</v>
      </c>
      <c r="D7" s="52">
        <v>10.311999999999999</v>
      </c>
      <c r="E7" s="52">
        <v>10.676</v>
      </c>
      <c r="F7" s="52">
        <v>12.965999999999999</v>
      </c>
      <c r="G7" s="52">
        <v>13.676</v>
      </c>
      <c r="H7" s="52">
        <v>12.786</v>
      </c>
      <c r="I7" s="52">
        <v>10.372</v>
      </c>
      <c r="J7" s="52">
        <v>6.4379999999999997</v>
      </c>
      <c r="K7" s="52">
        <v>4.2249999999999996</v>
      </c>
      <c r="L7" s="52">
        <v>5.0640000000000001</v>
      </c>
      <c r="M7" s="52">
        <v>8.1790000000000003</v>
      </c>
      <c r="N7" s="52">
        <v>11.6</v>
      </c>
      <c r="O7" s="52">
        <v>13.8</v>
      </c>
      <c r="P7" s="52">
        <v>16</v>
      </c>
      <c r="Q7" s="52">
        <v>19</v>
      </c>
      <c r="R7" s="103"/>
      <c r="S7" s="103"/>
    </row>
    <row r="8" spans="1:19" ht="24">
      <c r="A8" s="383"/>
      <c r="B8" s="65" t="s">
        <v>625</v>
      </c>
      <c r="C8" s="200" t="s">
        <v>624</v>
      </c>
      <c r="D8" s="52">
        <v>5.1120000000000001</v>
      </c>
      <c r="E8" s="52">
        <v>5.5759999999999996</v>
      </c>
      <c r="F8" s="52">
        <v>6.6660000000000004</v>
      </c>
      <c r="G8" s="52">
        <v>6.8760000000000003</v>
      </c>
      <c r="H8" s="52">
        <v>6.8760000000000003</v>
      </c>
      <c r="I8" s="52">
        <v>4.9720000000000004</v>
      </c>
      <c r="J8" s="52">
        <v>3.4380000000000002</v>
      </c>
      <c r="K8" s="52">
        <v>2.125</v>
      </c>
      <c r="L8" s="52">
        <v>2.6640000000000001</v>
      </c>
      <c r="M8" s="52">
        <v>3.9790000000000001</v>
      </c>
      <c r="N8" s="52">
        <v>5.2</v>
      </c>
      <c r="O8" s="52">
        <v>6.1</v>
      </c>
      <c r="P8" s="52">
        <v>7</v>
      </c>
      <c r="Q8" s="52">
        <v>8.5</v>
      </c>
      <c r="R8" s="103"/>
      <c r="S8" s="103"/>
    </row>
    <row r="9" spans="1:19">
      <c r="A9" s="383"/>
      <c r="B9" s="63" t="s">
        <v>623</v>
      </c>
      <c r="C9" s="200" t="s">
        <v>622</v>
      </c>
      <c r="D9" s="405">
        <v>5.2</v>
      </c>
      <c r="E9" s="405">
        <v>5.0999999999999996</v>
      </c>
      <c r="F9" s="405">
        <v>6.3</v>
      </c>
      <c r="G9" s="405">
        <v>6.8</v>
      </c>
      <c r="H9" s="405">
        <v>6</v>
      </c>
      <c r="I9" s="405">
        <v>5.4</v>
      </c>
      <c r="J9" s="405">
        <v>3</v>
      </c>
      <c r="K9" s="405">
        <v>2.1</v>
      </c>
      <c r="L9" s="405">
        <v>2.4</v>
      </c>
      <c r="M9" s="405">
        <v>4.2</v>
      </c>
      <c r="N9" s="405">
        <v>6.4</v>
      </c>
      <c r="O9" s="405">
        <v>7.7</v>
      </c>
      <c r="P9" s="405">
        <v>9</v>
      </c>
      <c r="Q9" s="405">
        <v>10.5</v>
      </c>
      <c r="R9" s="103"/>
      <c r="S9" s="103"/>
    </row>
    <row r="10" spans="1:19" ht="36">
      <c r="A10" s="383"/>
      <c r="B10" s="65" t="s">
        <v>621</v>
      </c>
      <c r="C10" s="200" t="s">
        <v>620</v>
      </c>
      <c r="D10" s="52">
        <v>1.407</v>
      </c>
      <c r="E10" s="52">
        <v>2.2850000000000001</v>
      </c>
      <c r="F10" s="52">
        <v>2.69</v>
      </c>
      <c r="G10" s="52">
        <v>2.6579999999999999</v>
      </c>
      <c r="H10" s="52">
        <v>2.67</v>
      </c>
      <c r="I10" s="52">
        <v>2.0920000000000001</v>
      </c>
      <c r="J10" s="52">
        <v>1.456</v>
      </c>
      <c r="K10" s="52">
        <v>1.095</v>
      </c>
      <c r="L10" s="52">
        <v>1.4159999999999999</v>
      </c>
      <c r="M10" s="52">
        <v>2.9430000000000001</v>
      </c>
      <c r="N10" s="52">
        <v>4.9000000000000004</v>
      </c>
      <c r="O10" s="52">
        <v>5.4</v>
      </c>
      <c r="P10" s="52">
        <v>6.1</v>
      </c>
      <c r="Q10" s="52">
        <v>7.9</v>
      </c>
      <c r="R10" s="103"/>
      <c r="S10" s="103"/>
    </row>
    <row r="11" spans="1:19" ht="36">
      <c r="A11" s="404" t="s">
        <v>26</v>
      </c>
      <c r="B11" s="398" t="s">
        <v>619</v>
      </c>
      <c r="C11" s="200" t="s">
        <v>618</v>
      </c>
      <c r="D11" s="52">
        <f t="shared" ref="D11:Q11" si="0">D7-D10</f>
        <v>8.9049999999999994</v>
      </c>
      <c r="E11" s="52">
        <f t="shared" si="0"/>
        <v>8.391</v>
      </c>
      <c r="F11" s="52">
        <f t="shared" si="0"/>
        <v>10.276</v>
      </c>
      <c r="G11" s="52">
        <f t="shared" si="0"/>
        <v>11.018000000000001</v>
      </c>
      <c r="H11" s="52">
        <f t="shared" si="0"/>
        <v>10.116</v>
      </c>
      <c r="I11" s="52">
        <f t="shared" si="0"/>
        <v>8.2799999999999994</v>
      </c>
      <c r="J11" s="52">
        <f t="shared" si="0"/>
        <v>4.9819999999999993</v>
      </c>
      <c r="K11" s="52">
        <f t="shared" si="0"/>
        <v>3.13</v>
      </c>
      <c r="L11" s="52">
        <f t="shared" si="0"/>
        <v>3.6480000000000001</v>
      </c>
      <c r="M11" s="52">
        <f t="shared" si="0"/>
        <v>5.2360000000000007</v>
      </c>
      <c r="N11" s="52">
        <f t="shared" si="0"/>
        <v>6.6999999999999993</v>
      </c>
      <c r="O11" s="52">
        <f t="shared" si="0"/>
        <v>8.4</v>
      </c>
      <c r="P11" s="52">
        <f t="shared" si="0"/>
        <v>9.9</v>
      </c>
      <c r="Q11" s="52">
        <f t="shared" si="0"/>
        <v>11.1</v>
      </c>
      <c r="R11" s="103"/>
      <c r="S11" s="103"/>
    </row>
    <row r="12" spans="1:19" ht="24">
      <c r="A12" s="383"/>
      <c r="B12" s="397" t="s">
        <v>617</v>
      </c>
      <c r="C12" s="200" t="s">
        <v>616</v>
      </c>
      <c r="D12" s="52">
        <v>5.6310000000000002</v>
      </c>
      <c r="E12" s="52">
        <v>5.8789999999999996</v>
      </c>
      <c r="F12" s="52">
        <v>6.4269999999999996</v>
      </c>
      <c r="G12" s="52">
        <v>6.702</v>
      </c>
      <c r="H12" s="52">
        <v>6.9379999999999997</v>
      </c>
      <c r="I12" s="52">
        <v>6.8810000000000002</v>
      </c>
      <c r="J12" s="52">
        <v>6.3630000000000004</v>
      </c>
      <c r="K12" s="52">
        <v>5.827</v>
      </c>
      <c r="L12" s="52">
        <v>5.8170000000000002</v>
      </c>
      <c r="M12" s="52">
        <v>5.8280000000000003</v>
      </c>
      <c r="N12" s="52">
        <v>6.4</v>
      </c>
      <c r="O12" s="52">
        <v>7</v>
      </c>
      <c r="P12" s="52">
        <v>7.4</v>
      </c>
      <c r="Q12" s="52">
        <v>7.8</v>
      </c>
      <c r="R12" s="103"/>
      <c r="S12" s="103"/>
    </row>
    <row r="13" spans="1:19" ht="24">
      <c r="A13" s="403" t="s">
        <v>23</v>
      </c>
      <c r="B13" s="398" t="s">
        <v>615</v>
      </c>
      <c r="C13" s="200" t="s">
        <v>614</v>
      </c>
      <c r="D13" s="52">
        <f t="shared" ref="D13:Q13" si="1">D7-D12</f>
        <v>4.6809999999999992</v>
      </c>
      <c r="E13" s="52">
        <f t="shared" si="1"/>
        <v>4.7970000000000006</v>
      </c>
      <c r="F13" s="52">
        <f t="shared" si="1"/>
        <v>6.5389999999999997</v>
      </c>
      <c r="G13" s="52">
        <f t="shared" si="1"/>
        <v>6.9740000000000002</v>
      </c>
      <c r="H13" s="52">
        <f t="shared" si="1"/>
        <v>5.8479999999999999</v>
      </c>
      <c r="I13" s="52">
        <f t="shared" si="1"/>
        <v>3.4909999999999997</v>
      </c>
      <c r="J13" s="52">
        <f t="shared" si="1"/>
        <v>7.4999999999999289E-2</v>
      </c>
      <c r="K13" s="52">
        <f t="shared" si="1"/>
        <v>-1.6020000000000003</v>
      </c>
      <c r="L13" s="52">
        <f t="shared" si="1"/>
        <v>-0.75300000000000011</v>
      </c>
      <c r="M13" s="52">
        <f t="shared" si="1"/>
        <v>2.351</v>
      </c>
      <c r="N13" s="52">
        <f t="shared" si="1"/>
        <v>5.1999999999999993</v>
      </c>
      <c r="O13" s="52">
        <f t="shared" si="1"/>
        <v>6.8000000000000007</v>
      </c>
      <c r="P13" s="52">
        <f t="shared" si="1"/>
        <v>8.6</v>
      </c>
      <c r="Q13" s="52">
        <f t="shared" si="1"/>
        <v>11.2</v>
      </c>
      <c r="R13" s="103"/>
      <c r="S13" s="103"/>
    </row>
    <row r="14" spans="1:19" ht="24">
      <c r="A14" s="403"/>
      <c r="B14" s="398" t="s">
        <v>613</v>
      </c>
      <c r="C14" s="200" t="s">
        <v>612</v>
      </c>
      <c r="D14" s="52">
        <v>1.32</v>
      </c>
      <c r="E14" s="52">
        <v>-0.83</v>
      </c>
      <c r="F14" s="52">
        <v>2.38</v>
      </c>
      <c r="G14" s="52">
        <v>1.31</v>
      </c>
      <c r="H14" s="52">
        <v>0.36</v>
      </c>
      <c r="I14" s="52">
        <v>-1.74</v>
      </c>
      <c r="J14" s="52">
        <v>-3.13</v>
      </c>
      <c r="K14" s="52">
        <v>-1.52</v>
      </c>
      <c r="L14" s="52">
        <v>0.44</v>
      </c>
      <c r="M14" s="52">
        <v>1.05</v>
      </c>
      <c r="N14" s="52">
        <v>1.24</v>
      </c>
      <c r="O14" s="52">
        <v>1.42</v>
      </c>
      <c r="P14" s="52">
        <v>1.59</v>
      </c>
      <c r="Q14" s="52">
        <v>1.77</v>
      </c>
      <c r="R14" s="103"/>
      <c r="S14" s="103"/>
    </row>
    <row r="15" spans="1:19" ht="24">
      <c r="A15" s="403" t="s">
        <v>78</v>
      </c>
      <c r="B15" s="398" t="s">
        <v>611</v>
      </c>
      <c r="C15" s="200" t="s">
        <v>610</v>
      </c>
      <c r="D15" s="52">
        <f t="shared" ref="D15:Q15" si="2">D13+D14</f>
        <v>6.0009999999999994</v>
      </c>
      <c r="E15" s="52">
        <f t="shared" si="2"/>
        <v>3.9670000000000005</v>
      </c>
      <c r="F15" s="52">
        <f t="shared" si="2"/>
        <v>8.9190000000000005</v>
      </c>
      <c r="G15" s="52">
        <f t="shared" si="2"/>
        <v>8.2840000000000007</v>
      </c>
      <c r="H15" s="52">
        <f t="shared" si="2"/>
        <v>6.2080000000000002</v>
      </c>
      <c r="I15" s="52">
        <f t="shared" si="2"/>
        <v>1.7509999999999997</v>
      </c>
      <c r="J15" s="52">
        <f t="shared" si="2"/>
        <v>-3.0550000000000006</v>
      </c>
      <c r="K15" s="52">
        <f t="shared" si="2"/>
        <v>-3.1220000000000003</v>
      </c>
      <c r="L15" s="52">
        <f t="shared" si="2"/>
        <v>-0.31300000000000011</v>
      </c>
      <c r="M15" s="52">
        <f t="shared" si="2"/>
        <v>3.4009999999999998</v>
      </c>
      <c r="N15" s="52">
        <f t="shared" si="2"/>
        <v>6.4399999999999995</v>
      </c>
      <c r="O15" s="52">
        <f t="shared" si="2"/>
        <v>8.2200000000000006</v>
      </c>
      <c r="P15" s="52">
        <f t="shared" si="2"/>
        <v>10.19</v>
      </c>
      <c r="Q15" s="52">
        <f t="shared" si="2"/>
        <v>12.969999999999999</v>
      </c>
      <c r="R15" s="103"/>
      <c r="S15" s="103"/>
    </row>
    <row r="16" spans="1:19" ht="36">
      <c r="A16" s="383"/>
      <c r="B16" s="398" t="s">
        <v>609</v>
      </c>
      <c r="C16" s="200" t="s">
        <v>608</v>
      </c>
      <c r="D16" s="52">
        <v>8.6199999999999992</v>
      </c>
      <c r="E16" s="52">
        <v>4.28</v>
      </c>
      <c r="F16" s="52">
        <v>12.24</v>
      </c>
      <c r="G16" s="52">
        <v>10.98</v>
      </c>
      <c r="H16" s="52">
        <v>5.77</v>
      </c>
      <c r="I16" s="52">
        <v>2.63</v>
      </c>
      <c r="J16" s="52">
        <v>-3.15</v>
      </c>
      <c r="K16" s="52">
        <v>-2.06</v>
      </c>
      <c r="L16" s="52">
        <v>1.94</v>
      </c>
      <c r="M16" s="52">
        <v>4.7300000000000004</v>
      </c>
      <c r="N16" s="52">
        <v>7.51</v>
      </c>
      <c r="O16" s="52">
        <v>9</v>
      </c>
      <c r="P16" s="52">
        <v>13.58</v>
      </c>
      <c r="Q16" s="52">
        <v>14.07</v>
      </c>
      <c r="R16" s="103"/>
      <c r="S16" s="103"/>
    </row>
    <row r="17" spans="1:19" ht="3.75" customHeight="1" thickBo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19" ht="13" thickTop="1">
      <c r="R18" s="103"/>
      <c r="S18" s="103"/>
    </row>
    <row r="19" spans="1:19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103"/>
      <c r="S19" s="103"/>
    </row>
    <row r="20" spans="1:19">
      <c r="A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103"/>
      <c r="S20" s="103"/>
    </row>
    <row r="21" spans="1:19">
      <c r="B21" s="79"/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103"/>
      <c r="S21" s="103"/>
    </row>
    <row r="22" spans="1:19">
      <c r="B22" s="79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103"/>
      <c r="S22" s="103"/>
    </row>
    <row r="23" spans="1:19">
      <c r="B23" s="79"/>
      <c r="C23" s="46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103"/>
      <c r="S23" s="103"/>
    </row>
    <row r="24" spans="1:19">
      <c r="B24" s="79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103"/>
      <c r="S24" s="103"/>
    </row>
    <row r="25" spans="1:19" s="43" customFormat="1" ht="12.5" customHeight="1">
      <c r="B25" s="79"/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02"/>
      <c r="S25" s="402"/>
    </row>
    <row r="26" spans="1:19" s="43" customFormat="1" ht="12.5" customHeight="1">
      <c r="B26" s="79"/>
      <c r="C26" s="46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02"/>
      <c r="S26" s="402"/>
    </row>
    <row r="27" spans="1:19">
      <c r="B27" s="79"/>
      <c r="C27" s="79"/>
      <c r="D27" s="48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103"/>
      <c r="S27" s="103"/>
    </row>
    <row r="28" spans="1:19">
      <c r="B28" s="382"/>
      <c r="C28" s="79"/>
      <c r="D28" s="48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103"/>
      <c r="S28" s="103"/>
    </row>
    <row r="29" spans="1:19">
      <c r="B29" s="79"/>
      <c r="C29" s="47"/>
      <c r="D29" s="48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103"/>
      <c r="S29" s="103"/>
    </row>
    <row r="30" spans="1:19">
      <c r="B30" s="79"/>
      <c r="C30" s="47"/>
      <c r="D30" s="48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103"/>
      <c r="S30" s="103"/>
    </row>
    <row r="31" spans="1:19">
      <c r="B31" s="382"/>
      <c r="C31" s="79"/>
      <c r="D31" s="48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103"/>
      <c r="S31" s="103"/>
    </row>
    <row r="32" spans="1:19">
      <c r="B32" s="79"/>
      <c r="C32" s="46"/>
      <c r="D32" s="48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103"/>
      <c r="S32" s="103"/>
    </row>
    <row r="33" spans="1:19">
      <c r="B33" s="79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103"/>
      <c r="S33" s="103"/>
    </row>
    <row r="34" spans="1:19">
      <c r="A34" s="79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103"/>
      <c r="S34" s="103"/>
    </row>
    <row r="35" spans="1:19">
      <c r="A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103"/>
      <c r="S35" s="103"/>
    </row>
    <row r="36" spans="1:19"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9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</row>
    <row r="38" spans="1:19"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</sheetData>
  <sheetProtection sheet="1" objects="1" scenarios="1"/>
  <printOptions verticalCentered="1"/>
  <pageMargins left="0.78740157480314965" right="0.78740157480314965" top="0" bottom="0.47244094488188981" header="0.19685039370078741" footer="0.23622047244094491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workbookViewId="0">
      <selection activeCell="V29" sqref="V10:W29"/>
    </sheetView>
  </sheetViews>
  <sheetFormatPr baseColWidth="10" defaultRowHeight="12" x14ac:dyDescent="0"/>
  <cols>
    <col min="1" max="1" width="17.1640625" style="2" customWidth="1"/>
    <col min="2" max="2" width="6.33203125" style="197" customWidth="1"/>
    <col min="3" max="16" width="4.6640625" style="2" customWidth="1"/>
    <col min="17" max="16384" width="10.83203125" style="2"/>
  </cols>
  <sheetData>
    <row r="1" spans="1:32" ht="13">
      <c r="A1" s="102" t="s">
        <v>683</v>
      </c>
      <c r="B1" s="200"/>
      <c r="C1" s="102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</row>
    <row r="2" spans="1:32" ht="13">
      <c r="A2" s="102"/>
      <c r="B2" s="424"/>
      <c r="C2" s="102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</row>
    <row r="3" spans="1:32" ht="13">
      <c r="A3" s="102" t="s">
        <v>682</v>
      </c>
      <c r="B3" s="424"/>
      <c r="C3" s="102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</row>
    <row r="4" spans="1:32" ht="12.75" customHeight="1" thickBot="1">
      <c r="A4" s="52"/>
      <c r="B4" s="200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</row>
    <row r="5" spans="1:32" s="115" customFormat="1" ht="18.75" customHeight="1" thickTop="1" thickBot="1">
      <c r="A5" s="422"/>
      <c r="B5" s="422"/>
      <c r="C5" s="422">
        <v>1925</v>
      </c>
      <c r="D5" s="422">
        <v>1926</v>
      </c>
      <c r="E5" s="422">
        <v>1927</v>
      </c>
      <c r="F5" s="422">
        <v>1928</v>
      </c>
      <c r="G5" s="422">
        <v>1929</v>
      </c>
      <c r="H5" s="422">
        <v>1930</v>
      </c>
      <c r="I5" s="422">
        <v>1931</v>
      </c>
      <c r="J5" s="422">
        <v>1932</v>
      </c>
      <c r="K5" s="422">
        <v>1933</v>
      </c>
      <c r="L5" s="422">
        <v>1934</v>
      </c>
      <c r="M5" s="422">
        <v>1935</v>
      </c>
      <c r="N5" s="422">
        <v>1936</v>
      </c>
      <c r="O5" s="422">
        <v>1937</v>
      </c>
      <c r="P5" s="422">
        <v>1938</v>
      </c>
    </row>
    <row r="6" spans="1:32" ht="14" customHeight="1" thickTop="1">
      <c r="A6" s="421" t="s">
        <v>681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411"/>
      <c r="R6" s="410"/>
      <c r="S6" s="410"/>
      <c r="T6" s="410"/>
      <c r="U6" s="410"/>
      <c r="V6" s="410"/>
      <c r="W6" s="410"/>
      <c r="X6" s="410"/>
      <c r="Y6" s="410"/>
      <c r="Z6" s="410"/>
      <c r="AA6" s="410"/>
      <c r="AB6" s="410"/>
      <c r="AC6" s="410"/>
      <c r="AD6" s="410"/>
      <c r="AE6" s="410"/>
      <c r="AF6" s="410"/>
    </row>
    <row r="7" spans="1:32" ht="12" customHeight="1">
      <c r="A7" s="93" t="s">
        <v>680</v>
      </c>
      <c r="B7" s="85" t="s">
        <v>679</v>
      </c>
      <c r="C7" s="85">
        <v>9546</v>
      </c>
      <c r="D7" s="85">
        <v>10677</v>
      </c>
      <c r="E7" s="85">
        <v>11118</v>
      </c>
      <c r="F7" s="85">
        <v>12627</v>
      </c>
      <c r="G7" s="85">
        <v>13632</v>
      </c>
      <c r="H7" s="85">
        <v>12175</v>
      </c>
      <c r="I7" s="85">
        <v>9733</v>
      </c>
      <c r="J7" s="85">
        <v>5834</v>
      </c>
      <c r="K7" s="85">
        <v>4957</v>
      </c>
      <c r="L7" s="85">
        <v>4240</v>
      </c>
      <c r="M7" s="85">
        <v>4335</v>
      </c>
      <c r="N7" s="85">
        <v>4850</v>
      </c>
      <c r="O7" s="85">
        <v>6040</v>
      </c>
      <c r="P7" s="85">
        <v>5819</v>
      </c>
      <c r="Q7" s="411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</row>
    <row r="8" spans="1:32" ht="22.25" customHeight="1">
      <c r="A8" s="95" t="s">
        <v>673</v>
      </c>
      <c r="B8" s="85" t="s">
        <v>678</v>
      </c>
      <c r="C8" s="85">
        <v>9054</v>
      </c>
      <c r="D8" s="85">
        <v>10046</v>
      </c>
      <c r="E8" s="85">
        <v>10539</v>
      </c>
      <c r="F8" s="85">
        <v>11964</v>
      </c>
      <c r="G8" s="85">
        <v>12813</v>
      </c>
      <c r="H8" s="85">
        <v>11468</v>
      </c>
      <c r="I8" s="85">
        <v>9340</v>
      </c>
      <c r="J8" s="85">
        <v>5834</v>
      </c>
      <c r="K8" s="85">
        <v>4957</v>
      </c>
      <c r="L8" s="85">
        <v>4240</v>
      </c>
      <c r="M8" s="85">
        <v>4335</v>
      </c>
      <c r="N8" s="85">
        <v>4850</v>
      </c>
      <c r="O8" s="85">
        <v>6040</v>
      </c>
      <c r="P8" s="85">
        <v>5819</v>
      </c>
      <c r="Q8" s="411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</row>
    <row r="9" spans="1:32" ht="12" customHeight="1">
      <c r="A9" s="93" t="s">
        <v>677</v>
      </c>
      <c r="B9" s="85" t="s">
        <v>676</v>
      </c>
      <c r="C9" s="85">
        <v>11990</v>
      </c>
      <c r="D9" s="85">
        <v>9884</v>
      </c>
      <c r="E9" s="85">
        <v>14078</v>
      </c>
      <c r="F9" s="85">
        <v>13938</v>
      </c>
      <c r="G9" s="85">
        <v>13676</v>
      </c>
      <c r="H9" s="85">
        <v>10617</v>
      </c>
      <c r="I9" s="85">
        <v>6955</v>
      </c>
      <c r="J9" s="85">
        <v>4782</v>
      </c>
      <c r="K9" s="85">
        <v>4291</v>
      </c>
      <c r="L9" s="85">
        <v>4613</v>
      </c>
      <c r="M9" s="85">
        <v>4343</v>
      </c>
      <c r="N9" s="85">
        <f>N7-N10</f>
        <v>4306</v>
      </c>
      <c r="O9" s="85">
        <f>O7-O10</f>
        <v>5603</v>
      </c>
      <c r="P9" s="85">
        <v>6138</v>
      </c>
      <c r="Q9" s="411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</row>
    <row r="10" spans="1:32" ht="22.25" customHeight="1">
      <c r="A10" s="95" t="s">
        <v>675</v>
      </c>
      <c r="B10" s="85" t="s">
        <v>674</v>
      </c>
      <c r="C10" s="85">
        <f t="shared" ref="C10:M10" si="0">C7-C9</f>
        <v>-2444</v>
      </c>
      <c r="D10" s="85">
        <f t="shared" si="0"/>
        <v>793</v>
      </c>
      <c r="E10" s="85">
        <f t="shared" si="0"/>
        <v>-2960</v>
      </c>
      <c r="F10" s="85">
        <f t="shared" si="0"/>
        <v>-1311</v>
      </c>
      <c r="G10" s="85">
        <f t="shared" si="0"/>
        <v>-44</v>
      </c>
      <c r="H10" s="85">
        <f t="shared" si="0"/>
        <v>1558</v>
      </c>
      <c r="I10" s="85">
        <f t="shared" si="0"/>
        <v>2778</v>
      </c>
      <c r="J10" s="85">
        <f t="shared" si="0"/>
        <v>1052</v>
      </c>
      <c r="K10" s="85">
        <f t="shared" si="0"/>
        <v>666</v>
      </c>
      <c r="L10" s="85">
        <f t="shared" si="0"/>
        <v>-373</v>
      </c>
      <c r="M10" s="85">
        <f t="shared" si="0"/>
        <v>-8</v>
      </c>
      <c r="N10" s="85">
        <v>544</v>
      </c>
      <c r="O10" s="85">
        <v>437</v>
      </c>
      <c r="P10" s="85">
        <f>P7-P9</f>
        <v>-319</v>
      </c>
      <c r="Q10" s="411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  <c r="AC10" s="410"/>
      <c r="AD10" s="410"/>
      <c r="AE10" s="410"/>
      <c r="AF10" s="410"/>
    </row>
    <row r="11" spans="1:32" ht="22.25" customHeight="1">
      <c r="A11" s="95" t="s">
        <v>673</v>
      </c>
      <c r="B11" s="85" t="s">
        <v>672</v>
      </c>
      <c r="C11" s="85">
        <f t="shared" ref="C11:M11" si="1">C8-C9</f>
        <v>-2936</v>
      </c>
      <c r="D11" s="85">
        <f t="shared" si="1"/>
        <v>162</v>
      </c>
      <c r="E11" s="85">
        <f t="shared" si="1"/>
        <v>-3539</v>
      </c>
      <c r="F11" s="85">
        <f t="shared" si="1"/>
        <v>-1974</v>
      </c>
      <c r="G11" s="85">
        <f t="shared" si="1"/>
        <v>-863</v>
      </c>
      <c r="H11" s="85">
        <f t="shared" si="1"/>
        <v>851</v>
      </c>
      <c r="I11" s="85">
        <f t="shared" si="1"/>
        <v>2385</v>
      </c>
      <c r="J11" s="85">
        <f t="shared" si="1"/>
        <v>1052</v>
      </c>
      <c r="K11" s="85">
        <f t="shared" si="1"/>
        <v>666</v>
      </c>
      <c r="L11" s="85">
        <f t="shared" si="1"/>
        <v>-373</v>
      </c>
      <c r="M11" s="85">
        <f t="shared" si="1"/>
        <v>-8</v>
      </c>
      <c r="N11" s="85">
        <v>544</v>
      </c>
      <c r="O11" s="85">
        <v>437</v>
      </c>
      <c r="P11" s="85">
        <f>P8-P9</f>
        <v>-319</v>
      </c>
      <c r="Q11" s="411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</row>
    <row r="12" spans="1:32" ht="13">
      <c r="A12" s="421" t="s">
        <v>671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411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</row>
    <row r="13" spans="1:32" ht="12" customHeight="1">
      <c r="A13" s="93" t="s">
        <v>670</v>
      </c>
      <c r="B13" s="85" t="s">
        <v>669</v>
      </c>
      <c r="C13" s="85">
        <v>1056</v>
      </c>
      <c r="D13" s="85">
        <v>1226</v>
      </c>
      <c r="E13" s="85">
        <v>1542</v>
      </c>
      <c r="F13" s="85">
        <v>1635</v>
      </c>
      <c r="G13" s="85">
        <v>2257</v>
      </c>
      <c r="H13" s="85">
        <v>1841</v>
      </c>
      <c r="I13" s="85">
        <v>1516</v>
      </c>
      <c r="J13" s="85">
        <v>1163</v>
      </c>
      <c r="K13" s="85">
        <v>735</v>
      </c>
      <c r="L13" s="85">
        <v>886</v>
      </c>
      <c r="M13" s="85">
        <v>937</v>
      </c>
      <c r="N13" s="85">
        <v>1600</v>
      </c>
      <c r="O13" s="85">
        <v>2163</v>
      </c>
      <c r="P13" s="85">
        <v>1944</v>
      </c>
      <c r="Q13" s="411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</row>
    <row r="14" spans="1:32" ht="22.25" customHeight="1">
      <c r="A14" s="95" t="s">
        <v>663</v>
      </c>
      <c r="B14" s="85" t="s">
        <v>668</v>
      </c>
      <c r="C14" s="85">
        <v>883</v>
      </c>
      <c r="D14" s="85">
        <v>1133</v>
      </c>
      <c r="E14" s="85">
        <v>1337</v>
      </c>
      <c r="F14" s="85">
        <v>1460</v>
      </c>
      <c r="G14" s="85">
        <v>2069</v>
      </c>
      <c r="H14" s="85">
        <v>1841</v>
      </c>
      <c r="I14" s="85">
        <v>1516</v>
      </c>
      <c r="J14" s="85">
        <v>1163</v>
      </c>
      <c r="K14" s="85">
        <v>735</v>
      </c>
      <c r="L14" s="85">
        <v>886</v>
      </c>
      <c r="M14" s="85">
        <v>937</v>
      </c>
      <c r="N14" s="85">
        <v>1600</v>
      </c>
      <c r="O14" s="85">
        <v>2163</v>
      </c>
      <c r="P14" s="85">
        <v>1944</v>
      </c>
      <c r="Q14" s="411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</row>
    <row r="15" spans="1:32" ht="12" customHeight="1">
      <c r="A15" s="93" t="s">
        <v>667</v>
      </c>
      <c r="B15" s="85" t="s">
        <v>666</v>
      </c>
      <c r="C15" s="85">
        <v>594</v>
      </c>
      <c r="D15" s="85">
        <v>694</v>
      </c>
      <c r="E15" s="85">
        <v>897</v>
      </c>
      <c r="F15" s="85">
        <v>963</v>
      </c>
      <c r="G15" s="85">
        <v>1545</v>
      </c>
      <c r="H15" s="85">
        <v>1303</v>
      </c>
      <c r="I15" s="85">
        <v>1066</v>
      </c>
      <c r="J15" s="85">
        <v>898</v>
      </c>
      <c r="K15" s="85">
        <v>422</v>
      </c>
      <c r="L15" s="85">
        <v>422</v>
      </c>
      <c r="M15" s="85">
        <v>486</v>
      </c>
      <c r="N15" s="85">
        <v>1054</v>
      </c>
      <c r="O15" s="85">
        <v>1850</v>
      </c>
      <c r="P15" s="85">
        <v>1721</v>
      </c>
      <c r="Q15" s="411"/>
      <c r="R15" s="410"/>
      <c r="S15" s="410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</row>
    <row r="16" spans="1:32" ht="22.25" customHeight="1">
      <c r="A16" s="95" t="s">
        <v>665</v>
      </c>
      <c r="B16" s="85" t="s">
        <v>664</v>
      </c>
      <c r="C16" s="85">
        <f t="shared" ref="C16:P16" si="2">C13-C15</f>
        <v>462</v>
      </c>
      <c r="D16" s="85">
        <f t="shared" si="2"/>
        <v>532</v>
      </c>
      <c r="E16" s="85">
        <f t="shared" si="2"/>
        <v>645</v>
      </c>
      <c r="F16" s="85">
        <f t="shared" si="2"/>
        <v>672</v>
      </c>
      <c r="G16" s="85">
        <f t="shared" si="2"/>
        <v>712</v>
      </c>
      <c r="H16" s="85">
        <f t="shared" si="2"/>
        <v>538</v>
      </c>
      <c r="I16" s="85">
        <f t="shared" si="2"/>
        <v>450</v>
      </c>
      <c r="J16" s="85">
        <f t="shared" si="2"/>
        <v>265</v>
      </c>
      <c r="K16" s="85">
        <f t="shared" si="2"/>
        <v>313</v>
      </c>
      <c r="L16" s="85">
        <f t="shared" si="2"/>
        <v>464</v>
      </c>
      <c r="M16" s="85">
        <f t="shared" si="2"/>
        <v>451</v>
      </c>
      <c r="N16" s="85">
        <f t="shared" si="2"/>
        <v>546</v>
      </c>
      <c r="O16" s="85">
        <f t="shared" si="2"/>
        <v>313</v>
      </c>
      <c r="P16" s="85">
        <f t="shared" si="2"/>
        <v>223</v>
      </c>
      <c r="Q16" s="411"/>
      <c r="R16" s="410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</row>
    <row r="17" spans="1:32" ht="22.25" customHeight="1">
      <c r="A17" s="95" t="s">
        <v>663</v>
      </c>
      <c r="B17" s="85" t="s">
        <v>662</v>
      </c>
      <c r="C17" s="85">
        <f t="shared" ref="C17:P17" si="3">C14-C15</f>
        <v>289</v>
      </c>
      <c r="D17" s="85">
        <f t="shared" si="3"/>
        <v>439</v>
      </c>
      <c r="E17" s="85">
        <f t="shared" si="3"/>
        <v>440</v>
      </c>
      <c r="F17" s="85">
        <f t="shared" si="3"/>
        <v>497</v>
      </c>
      <c r="G17" s="85">
        <f t="shared" si="3"/>
        <v>524</v>
      </c>
      <c r="H17" s="85">
        <f t="shared" si="3"/>
        <v>538</v>
      </c>
      <c r="I17" s="85">
        <f t="shared" si="3"/>
        <v>450</v>
      </c>
      <c r="J17" s="85">
        <f t="shared" si="3"/>
        <v>265</v>
      </c>
      <c r="K17" s="85">
        <f t="shared" si="3"/>
        <v>313</v>
      </c>
      <c r="L17" s="85">
        <f t="shared" si="3"/>
        <v>464</v>
      </c>
      <c r="M17" s="85">
        <f t="shared" si="3"/>
        <v>451</v>
      </c>
      <c r="N17" s="85">
        <f t="shared" si="3"/>
        <v>546</v>
      </c>
      <c r="O17" s="85">
        <f t="shared" si="3"/>
        <v>313</v>
      </c>
      <c r="P17" s="85">
        <f t="shared" si="3"/>
        <v>223</v>
      </c>
      <c r="Q17" s="411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</row>
    <row r="18" spans="1:32" ht="13">
      <c r="A18" s="421" t="s">
        <v>661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411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</row>
    <row r="19" spans="1:32" ht="22.25" customHeight="1">
      <c r="A19" s="95" t="s">
        <v>660</v>
      </c>
      <c r="B19" s="85" t="s">
        <v>659</v>
      </c>
      <c r="C19" s="85">
        <v>320</v>
      </c>
      <c r="D19" s="85">
        <v>340</v>
      </c>
      <c r="E19" s="85">
        <v>335</v>
      </c>
      <c r="F19" s="85">
        <v>382</v>
      </c>
      <c r="G19" s="85">
        <v>400</v>
      </c>
      <c r="H19" s="85">
        <v>400</v>
      </c>
      <c r="I19" s="85">
        <v>300</v>
      </c>
      <c r="J19" s="85">
        <v>200</v>
      </c>
      <c r="K19" s="85">
        <v>150</v>
      </c>
      <c r="L19" s="85">
        <v>125</v>
      </c>
      <c r="M19" s="85">
        <v>100</v>
      </c>
      <c r="N19" s="85">
        <v>105</v>
      </c>
      <c r="O19" s="85">
        <v>39</v>
      </c>
      <c r="P19" s="85">
        <v>30</v>
      </c>
      <c r="Q19" s="411"/>
      <c r="S19" s="410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</row>
    <row r="20" spans="1:32" ht="22.25" customHeight="1">
      <c r="A20" s="95" t="s">
        <v>658</v>
      </c>
      <c r="B20" s="85" t="s">
        <v>657</v>
      </c>
      <c r="C20" s="85">
        <v>326</v>
      </c>
      <c r="D20" s="85">
        <v>513</v>
      </c>
      <c r="E20" s="85">
        <v>680</v>
      </c>
      <c r="F20" s="85">
        <v>945</v>
      </c>
      <c r="G20" s="85">
        <v>1200</v>
      </c>
      <c r="H20" s="85">
        <v>1400</v>
      </c>
      <c r="I20" s="85">
        <v>1500</v>
      </c>
      <c r="J20" s="85">
        <v>1100</v>
      </c>
      <c r="K20" s="85">
        <v>848</v>
      </c>
      <c r="L20" s="85">
        <v>750</v>
      </c>
      <c r="M20" s="85">
        <v>650</v>
      </c>
      <c r="N20" s="85">
        <v>580</v>
      </c>
      <c r="O20" s="85">
        <v>530</v>
      </c>
      <c r="P20" s="85">
        <v>500</v>
      </c>
      <c r="Q20" s="411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</row>
    <row r="21" spans="1:32" ht="22.25" customHeight="1">
      <c r="A21" s="95" t="s">
        <v>656</v>
      </c>
      <c r="B21" s="85" t="s">
        <v>655</v>
      </c>
      <c r="C21" s="85">
        <f t="shared" ref="C21:P21" si="4">C19-C20</f>
        <v>-6</v>
      </c>
      <c r="D21" s="85">
        <f t="shared" si="4"/>
        <v>-173</v>
      </c>
      <c r="E21" s="85">
        <f t="shared" si="4"/>
        <v>-345</v>
      </c>
      <c r="F21" s="85">
        <f t="shared" si="4"/>
        <v>-563</v>
      </c>
      <c r="G21" s="85">
        <f t="shared" si="4"/>
        <v>-800</v>
      </c>
      <c r="H21" s="85">
        <f t="shared" si="4"/>
        <v>-1000</v>
      </c>
      <c r="I21" s="85">
        <f t="shared" si="4"/>
        <v>-1200</v>
      </c>
      <c r="J21" s="85">
        <f t="shared" si="4"/>
        <v>-900</v>
      </c>
      <c r="K21" s="85">
        <f t="shared" si="4"/>
        <v>-698</v>
      </c>
      <c r="L21" s="85">
        <f t="shared" si="4"/>
        <v>-625</v>
      </c>
      <c r="M21" s="85">
        <f t="shared" si="4"/>
        <v>-550</v>
      </c>
      <c r="N21" s="85">
        <f t="shared" si="4"/>
        <v>-475</v>
      </c>
      <c r="O21" s="85">
        <f t="shared" si="4"/>
        <v>-491</v>
      </c>
      <c r="P21" s="85">
        <f t="shared" si="4"/>
        <v>-470</v>
      </c>
      <c r="Q21" s="411"/>
      <c r="R21" s="410"/>
      <c r="S21" s="410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</row>
    <row r="22" spans="1:32" ht="13">
      <c r="A22" s="112" t="s">
        <v>654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411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</row>
    <row r="23" spans="1:32" ht="22.25" customHeight="1">
      <c r="A23" s="95" t="s">
        <v>653</v>
      </c>
      <c r="B23" s="85" t="s">
        <v>647</v>
      </c>
      <c r="C23" s="85">
        <f t="shared" ref="C23:P23" si="5">C7+C13+C19</f>
        <v>10922</v>
      </c>
      <c r="D23" s="85">
        <f t="shared" si="5"/>
        <v>12243</v>
      </c>
      <c r="E23" s="85">
        <f t="shared" si="5"/>
        <v>12995</v>
      </c>
      <c r="F23" s="85">
        <f t="shared" si="5"/>
        <v>14644</v>
      </c>
      <c r="G23" s="85">
        <f t="shared" si="5"/>
        <v>16289</v>
      </c>
      <c r="H23" s="85">
        <f t="shared" si="5"/>
        <v>14416</v>
      </c>
      <c r="I23" s="85">
        <f t="shared" si="5"/>
        <v>11549</v>
      </c>
      <c r="J23" s="85">
        <f t="shared" si="5"/>
        <v>7197</v>
      </c>
      <c r="K23" s="85">
        <f t="shared" si="5"/>
        <v>5842</v>
      </c>
      <c r="L23" s="85">
        <f t="shared" si="5"/>
        <v>5251</v>
      </c>
      <c r="M23" s="85">
        <f t="shared" si="5"/>
        <v>5372</v>
      </c>
      <c r="N23" s="85">
        <f t="shared" si="5"/>
        <v>6555</v>
      </c>
      <c r="O23" s="85">
        <f t="shared" si="5"/>
        <v>8242</v>
      </c>
      <c r="P23" s="85">
        <f t="shared" si="5"/>
        <v>7793</v>
      </c>
      <c r="Q23" s="411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</row>
    <row r="24" spans="1:32" ht="22.25" customHeight="1">
      <c r="A24" s="95" t="s">
        <v>652</v>
      </c>
      <c r="B24" s="85" t="s">
        <v>651</v>
      </c>
      <c r="C24" s="85">
        <f t="shared" ref="C24:P24" si="6">C9+C15+C20</f>
        <v>12910</v>
      </c>
      <c r="D24" s="85">
        <f t="shared" si="6"/>
        <v>11091</v>
      </c>
      <c r="E24" s="85">
        <f t="shared" si="6"/>
        <v>15655</v>
      </c>
      <c r="F24" s="85">
        <f t="shared" si="6"/>
        <v>15846</v>
      </c>
      <c r="G24" s="85">
        <f t="shared" si="6"/>
        <v>16421</v>
      </c>
      <c r="H24" s="85">
        <f t="shared" si="6"/>
        <v>13320</v>
      </c>
      <c r="I24" s="85">
        <f t="shared" si="6"/>
        <v>9521</v>
      </c>
      <c r="J24" s="85">
        <f t="shared" si="6"/>
        <v>6780</v>
      </c>
      <c r="K24" s="85">
        <f t="shared" si="6"/>
        <v>5561</v>
      </c>
      <c r="L24" s="85">
        <f t="shared" si="6"/>
        <v>5785</v>
      </c>
      <c r="M24" s="85">
        <f t="shared" si="6"/>
        <v>5479</v>
      </c>
      <c r="N24" s="85">
        <f t="shared" si="6"/>
        <v>5940</v>
      </c>
      <c r="O24" s="85">
        <f t="shared" si="6"/>
        <v>7983</v>
      </c>
      <c r="P24" s="85">
        <f t="shared" si="6"/>
        <v>8359</v>
      </c>
      <c r="Q24" s="411"/>
      <c r="R24" s="420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</row>
    <row r="25" spans="1:32" s="383" customFormat="1" ht="12" customHeight="1">
      <c r="A25" s="93" t="s">
        <v>650</v>
      </c>
      <c r="B25" s="85" t="s">
        <v>649</v>
      </c>
      <c r="C25" s="85">
        <f t="shared" ref="C25:P25" si="7">C7-C9+C13-C15+C19-C20</f>
        <v>-1988</v>
      </c>
      <c r="D25" s="85">
        <f t="shared" si="7"/>
        <v>1152</v>
      </c>
      <c r="E25" s="85">
        <f t="shared" si="7"/>
        <v>-2660</v>
      </c>
      <c r="F25" s="85">
        <f t="shared" si="7"/>
        <v>-1202</v>
      </c>
      <c r="G25" s="85">
        <f t="shared" si="7"/>
        <v>-132</v>
      </c>
      <c r="H25" s="85">
        <f t="shared" si="7"/>
        <v>1096</v>
      </c>
      <c r="I25" s="85">
        <f t="shared" si="7"/>
        <v>2028</v>
      </c>
      <c r="J25" s="85">
        <f t="shared" si="7"/>
        <v>417</v>
      </c>
      <c r="K25" s="85">
        <f t="shared" si="7"/>
        <v>281</v>
      </c>
      <c r="L25" s="85">
        <f t="shared" si="7"/>
        <v>-534</v>
      </c>
      <c r="M25" s="85">
        <f t="shared" si="7"/>
        <v>-107</v>
      </c>
      <c r="N25" s="85">
        <f t="shared" si="7"/>
        <v>615</v>
      </c>
      <c r="O25" s="85">
        <f t="shared" si="7"/>
        <v>259</v>
      </c>
      <c r="P25" s="85">
        <f t="shared" si="7"/>
        <v>-566</v>
      </c>
      <c r="Q25" s="411"/>
      <c r="R25" s="419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</row>
    <row r="26" spans="1:32" ht="33.75" customHeight="1">
      <c r="A26" s="95" t="s">
        <v>648</v>
      </c>
      <c r="B26" s="85" t="s">
        <v>647</v>
      </c>
      <c r="C26" s="85">
        <f t="shared" ref="C26:P26" si="8">C8-C9+C14-C15+C21</f>
        <v>-2653</v>
      </c>
      <c r="D26" s="85">
        <f t="shared" si="8"/>
        <v>428</v>
      </c>
      <c r="E26" s="85">
        <f t="shared" si="8"/>
        <v>-3444</v>
      </c>
      <c r="F26" s="85">
        <f t="shared" si="8"/>
        <v>-2040</v>
      </c>
      <c r="G26" s="85">
        <f t="shared" si="8"/>
        <v>-1139</v>
      </c>
      <c r="H26" s="85">
        <f t="shared" si="8"/>
        <v>389</v>
      </c>
      <c r="I26" s="85">
        <f t="shared" si="8"/>
        <v>1635</v>
      </c>
      <c r="J26" s="85">
        <f t="shared" si="8"/>
        <v>417</v>
      </c>
      <c r="K26" s="85">
        <f t="shared" si="8"/>
        <v>281</v>
      </c>
      <c r="L26" s="85">
        <f t="shared" si="8"/>
        <v>-534</v>
      </c>
      <c r="M26" s="85">
        <f t="shared" si="8"/>
        <v>-107</v>
      </c>
      <c r="N26" s="85">
        <f t="shared" si="8"/>
        <v>615</v>
      </c>
      <c r="O26" s="85">
        <f t="shared" si="8"/>
        <v>259</v>
      </c>
      <c r="P26" s="85">
        <f t="shared" si="8"/>
        <v>-566</v>
      </c>
      <c r="Q26" s="411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</row>
    <row r="27" spans="1:32" ht="22.25" customHeight="1">
      <c r="A27" s="112" t="s">
        <v>646</v>
      </c>
      <c r="B27" s="85" t="s">
        <v>645</v>
      </c>
      <c r="C27" s="85">
        <v>-1057</v>
      </c>
      <c r="D27" s="85">
        <v>-1191</v>
      </c>
      <c r="E27" s="85">
        <v>-1584</v>
      </c>
      <c r="F27" s="85">
        <v>-1990</v>
      </c>
      <c r="G27" s="85">
        <v>-2337</v>
      </c>
      <c r="H27" s="85">
        <v>-1706</v>
      </c>
      <c r="I27" s="85">
        <v>-988</v>
      </c>
      <c r="J27" s="85">
        <v>-160</v>
      </c>
      <c r="K27" s="85">
        <v>-149</v>
      </c>
      <c r="L27" s="85"/>
      <c r="M27" s="85"/>
      <c r="N27" s="85"/>
      <c r="O27" s="85"/>
      <c r="P27" s="85"/>
      <c r="Q27" s="411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</row>
    <row r="28" spans="1:32" ht="22.25" customHeight="1">
      <c r="A28" s="112" t="s">
        <v>644</v>
      </c>
      <c r="B28" s="85" t="s">
        <v>643</v>
      </c>
      <c r="C28" s="85">
        <f t="shared" ref="C28:L28" si="9">C25+C27</f>
        <v>-3045</v>
      </c>
      <c r="D28" s="85">
        <f t="shared" si="9"/>
        <v>-39</v>
      </c>
      <c r="E28" s="85">
        <f t="shared" si="9"/>
        <v>-4244</v>
      </c>
      <c r="F28" s="85">
        <f t="shared" si="9"/>
        <v>-3192</v>
      </c>
      <c r="G28" s="85">
        <f t="shared" si="9"/>
        <v>-2469</v>
      </c>
      <c r="H28" s="85">
        <f t="shared" si="9"/>
        <v>-610</v>
      </c>
      <c r="I28" s="85">
        <f t="shared" si="9"/>
        <v>1040</v>
      </c>
      <c r="J28" s="85">
        <f t="shared" si="9"/>
        <v>257</v>
      </c>
      <c r="K28" s="85">
        <f t="shared" si="9"/>
        <v>132</v>
      </c>
      <c r="L28" s="85">
        <f t="shared" si="9"/>
        <v>-534</v>
      </c>
      <c r="M28" s="360">
        <v>-107</v>
      </c>
      <c r="N28" s="360">
        <v>615</v>
      </c>
      <c r="O28" s="360">
        <v>259</v>
      </c>
      <c r="P28" s="360">
        <v>-566</v>
      </c>
      <c r="Q28" s="411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</row>
    <row r="29" spans="1:32" ht="12" customHeight="1">
      <c r="A29" s="112" t="s">
        <v>642</v>
      </c>
      <c r="B29" s="85" t="s">
        <v>641</v>
      </c>
      <c r="C29" s="85">
        <v>-90</v>
      </c>
      <c r="D29" s="85">
        <v>-568</v>
      </c>
      <c r="E29" s="85">
        <v>452</v>
      </c>
      <c r="F29" s="85">
        <v>-931</v>
      </c>
      <c r="G29" s="85">
        <v>165</v>
      </c>
      <c r="H29" s="85">
        <v>120</v>
      </c>
      <c r="I29" s="85">
        <v>1706</v>
      </c>
      <c r="J29" s="85">
        <v>233</v>
      </c>
      <c r="K29" s="85">
        <v>447</v>
      </c>
      <c r="L29" s="85">
        <v>424</v>
      </c>
      <c r="M29" s="85">
        <v>30</v>
      </c>
      <c r="N29" s="85">
        <v>50</v>
      </c>
      <c r="O29" s="85">
        <v>-111</v>
      </c>
      <c r="P29" s="85">
        <v>-74</v>
      </c>
      <c r="Q29" s="411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</row>
    <row r="30" spans="1:32" ht="13">
      <c r="A30" s="112" t="s">
        <v>640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411"/>
      <c r="R30" s="410"/>
      <c r="S30" s="410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</row>
    <row r="31" spans="1:32" ht="13">
      <c r="A31" s="93" t="s">
        <v>639</v>
      </c>
      <c r="B31" s="85" t="s">
        <v>638</v>
      </c>
      <c r="C31" s="85">
        <v>1518</v>
      </c>
      <c r="D31" s="85">
        <v>1641</v>
      </c>
      <c r="E31" s="85">
        <v>4336</v>
      </c>
      <c r="F31" s="85">
        <v>5975</v>
      </c>
      <c r="G31" s="85">
        <v>3544</v>
      </c>
      <c r="H31" s="85">
        <v>3678</v>
      </c>
      <c r="I31" s="85">
        <v>3817</v>
      </c>
      <c r="J31" s="85">
        <v>550</v>
      </c>
      <c r="K31" s="85">
        <v>603</v>
      </c>
      <c r="L31" s="85">
        <v>1310</v>
      </c>
      <c r="M31" s="85">
        <v>837</v>
      </c>
      <c r="N31" s="85"/>
      <c r="O31" s="85"/>
      <c r="P31" s="85">
        <v>3305</v>
      </c>
      <c r="Q31" s="411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</row>
    <row r="32" spans="1:32" ht="22.25" customHeight="1">
      <c r="A32" s="95" t="s">
        <v>637</v>
      </c>
      <c r="B32" s="85" t="s">
        <v>636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85">
        <v>0</v>
      </c>
      <c r="M32" s="85">
        <v>0</v>
      </c>
      <c r="N32" s="85"/>
      <c r="O32" s="85">
        <v>780</v>
      </c>
      <c r="P32" s="85">
        <v>1000</v>
      </c>
      <c r="Q32" s="411"/>
      <c r="R32" s="410"/>
      <c r="S32" s="410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</row>
    <row r="33" spans="1:32" ht="12" customHeight="1">
      <c r="A33" s="95" t="s">
        <v>635</v>
      </c>
      <c r="B33" s="85" t="s">
        <v>634</v>
      </c>
      <c r="C33" s="85">
        <v>87</v>
      </c>
      <c r="D33" s="85">
        <v>118</v>
      </c>
      <c r="E33" s="85">
        <v>854</v>
      </c>
      <c r="F33" s="85">
        <v>2852</v>
      </c>
      <c r="G33" s="85">
        <v>2119</v>
      </c>
      <c r="H33" s="85">
        <v>2442</v>
      </c>
      <c r="I33" s="85">
        <v>3160</v>
      </c>
      <c r="J33" s="85">
        <v>1299</v>
      </c>
      <c r="K33" s="85">
        <v>1410</v>
      </c>
      <c r="L33" s="85">
        <v>1120</v>
      </c>
      <c r="M33" s="85">
        <v>710</v>
      </c>
      <c r="N33" s="85"/>
      <c r="O33" s="85"/>
      <c r="P33" s="85">
        <v>2772</v>
      </c>
      <c r="Q33" s="411"/>
      <c r="R33" s="410"/>
      <c r="S33" s="410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</row>
    <row r="34" spans="1:32" ht="12" customHeight="1">
      <c r="A34" s="93" t="s">
        <v>633</v>
      </c>
      <c r="B34" s="85" t="s">
        <v>632</v>
      </c>
      <c r="C34" s="85">
        <f t="shared" ref="C34:M34" si="10">C31-C33</f>
        <v>1431</v>
      </c>
      <c r="D34" s="85">
        <f t="shared" si="10"/>
        <v>1523</v>
      </c>
      <c r="E34" s="85">
        <f t="shared" si="10"/>
        <v>3482</v>
      </c>
      <c r="F34" s="85">
        <f t="shared" si="10"/>
        <v>3123</v>
      </c>
      <c r="G34" s="85">
        <f t="shared" si="10"/>
        <v>1425</v>
      </c>
      <c r="H34" s="85">
        <f t="shared" si="10"/>
        <v>1236</v>
      </c>
      <c r="I34" s="85">
        <f t="shared" si="10"/>
        <v>657</v>
      </c>
      <c r="J34" s="85">
        <f t="shared" si="10"/>
        <v>-749</v>
      </c>
      <c r="K34" s="85">
        <f t="shared" si="10"/>
        <v>-807</v>
      </c>
      <c r="L34" s="85">
        <f t="shared" si="10"/>
        <v>190</v>
      </c>
      <c r="M34" s="85">
        <f t="shared" si="10"/>
        <v>127</v>
      </c>
      <c r="N34" s="85">
        <v>-111</v>
      </c>
      <c r="O34" s="85">
        <v>-171</v>
      </c>
      <c r="P34" s="85">
        <f>P31-P33</f>
        <v>533</v>
      </c>
      <c r="Q34" s="411"/>
      <c r="R34" s="410"/>
      <c r="S34" s="410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</row>
    <row r="35" spans="1:32" ht="12" customHeight="1">
      <c r="A35" s="112" t="s">
        <v>631</v>
      </c>
      <c r="B35" s="85" t="s">
        <v>630</v>
      </c>
      <c r="C35" s="85">
        <v>1704</v>
      </c>
      <c r="D35" s="85">
        <v>-916</v>
      </c>
      <c r="E35" s="85">
        <v>310</v>
      </c>
      <c r="F35" s="85">
        <v>1000</v>
      </c>
      <c r="G35" s="85">
        <v>871</v>
      </c>
      <c r="H35" s="85">
        <v>-746</v>
      </c>
      <c r="I35" s="85">
        <v>-3350</v>
      </c>
      <c r="J35" s="85">
        <v>236</v>
      </c>
      <c r="K35" s="85">
        <v>228</v>
      </c>
      <c r="L35" s="85">
        <v>-80</v>
      </c>
      <c r="M35" s="85">
        <v>-50</v>
      </c>
      <c r="N35" s="85">
        <v>-554</v>
      </c>
      <c r="O35" s="85">
        <v>23</v>
      </c>
      <c r="P35" s="85">
        <v>107</v>
      </c>
      <c r="Q35" s="411"/>
      <c r="R35" s="410"/>
      <c r="S35" s="410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</row>
    <row r="36" spans="1:32" ht="9.75" customHeight="1" thickBot="1">
      <c r="A36" s="418"/>
      <c r="B36" s="209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411"/>
      <c r="R36" s="410"/>
      <c r="S36" s="410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</row>
    <row r="37" spans="1:32" ht="9.75" customHeight="1" thickTop="1">
      <c r="A37" s="112"/>
      <c r="B37" s="85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411"/>
      <c r="R37" s="410"/>
      <c r="S37" s="410"/>
      <c r="T37" s="410"/>
      <c r="U37" s="410"/>
      <c r="V37" s="410"/>
      <c r="W37" s="410"/>
      <c r="X37" s="410"/>
      <c r="Y37" s="410"/>
      <c r="Z37" s="410"/>
      <c r="AA37" s="410"/>
      <c r="AB37" s="410"/>
      <c r="AC37" s="410"/>
      <c r="AD37" s="410"/>
      <c r="AE37" s="410"/>
      <c r="AF37" s="410"/>
    </row>
    <row r="38" spans="1:32" ht="13">
      <c r="A38" s="412"/>
      <c r="B38" s="417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1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</row>
    <row r="39" spans="1:32" ht="6.5" customHeight="1">
      <c r="A39" s="412"/>
      <c r="B39" s="417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1"/>
      <c r="R39" s="410"/>
      <c r="S39" s="410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</row>
    <row r="40" spans="1:32" ht="11" customHeight="1">
      <c r="A40" s="415"/>
      <c r="B40" s="415"/>
      <c r="C40" s="413"/>
      <c r="D40" s="413"/>
      <c r="E40" s="413"/>
      <c r="F40" s="413"/>
      <c r="G40" s="413"/>
      <c r="H40" s="413"/>
      <c r="I40" s="413"/>
      <c r="J40" s="413"/>
      <c r="K40" s="413"/>
      <c r="L40" s="412"/>
      <c r="M40" s="412"/>
      <c r="N40" s="412"/>
      <c r="O40" s="412"/>
      <c r="P40" s="412"/>
      <c r="Q40" s="411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</row>
    <row r="41" spans="1:32" ht="11" customHeight="1">
      <c r="A41" s="415"/>
      <c r="B41" s="415"/>
      <c r="C41" s="413"/>
      <c r="D41" s="413"/>
      <c r="E41" s="413"/>
      <c r="F41" s="413"/>
      <c r="G41" s="413"/>
      <c r="H41" s="413"/>
      <c r="I41" s="413"/>
      <c r="J41" s="413"/>
      <c r="K41" s="413"/>
      <c r="L41" s="412"/>
      <c r="M41" s="412"/>
      <c r="N41" s="412"/>
      <c r="O41" s="412"/>
      <c r="P41" s="412"/>
      <c r="Q41" s="411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</row>
    <row r="42" spans="1:32" ht="11" customHeight="1">
      <c r="A42" s="415"/>
      <c r="B42" s="415"/>
      <c r="C42" s="413"/>
      <c r="D42" s="413"/>
      <c r="E42" s="413"/>
      <c r="F42" s="413"/>
      <c r="G42" s="413"/>
      <c r="H42" s="413"/>
      <c r="I42" s="413"/>
      <c r="J42" s="413"/>
      <c r="K42" s="413"/>
      <c r="L42" s="412"/>
      <c r="M42" s="412"/>
      <c r="N42" s="412"/>
      <c r="O42" s="412"/>
      <c r="P42" s="412"/>
      <c r="Q42" s="411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</row>
    <row r="43" spans="1:32" ht="13">
      <c r="A43" s="415"/>
      <c r="B43" s="416"/>
      <c r="C43" s="413"/>
      <c r="D43" s="413"/>
      <c r="E43" s="413"/>
      <c r="F43" s="415"/>
      <c r="G43" s="413"/>
      <c r="H43" s="413"/>
      <c r="I43" s="416"/>
      <c r="J43" s="413"/>
      <c r="K43" s="413"/>
      <c r="L43" s="412"/>
      <c r="M43" s="412"/>
      <c r="N43" s="412"/>
      <c r="O43" s="412"/>
      <c r="P43" s="412"/>
      <c r="Q43" s="411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</row>
    <row r="44" spans="1:32" ht="11" customHeight="1">
      <c r="A44" s="415"/>
      <c r="B44" s="416"/>
      <c r="C44" s="413"/>
      <c r="D44" s="413"/>
      <c r="E44" s="413"/>
      <c r="F44" s="415"/>
      <c r="G44" s="413"/>
      <c r="H44" s="413"/>
      <c r="I44" s="416"/>
      <c r="J44" s="413"/>
      <c r="K44" s="413"/>
      <c r="L44" s="412"/>
      <c r="M44" s="412"/>
      <c r="N44" s="412"/>
      <c r="O44" s="412"/>
      <c r="P44" s="412"/>
      <c r="Q44" s="411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</row>
    <row r="45" spans="1:32" ht="11" customHeight="1">
      <c r="A45" s="415"/>
      <c r="B45" s="416"/>
      <c r="C45" s="413"/>
      <c r="D45" s="413"/>
      <c r="E45" s="413"/>
      <c r="F45" s="415"/>
      <c r="G45" s="413"/>
      <c r="H45" s="413"/>
      <c r="I45" s="415"/>
      <c r="J45" s="413"/>
      <c r="K45" s="413"/>
      <c r="L45" s="412"/>
      <c r="M45" s="412"/>
      <c r="N45" s="412"/>
      <c r="O45" s="412"/>
      <c r="P45" s="412"/>
      <c r="Q45" s="411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410"/>
    </row>
    <row r="46" spans="1:32" ht="11" customHeight="1">
      <c r="A46" s="415"/>
      <c r="B46" s="416"/>
      <c r="C46" s="413"/>
      <c r="D46" s="413"/>
      <c r="E46" s="413"/>
      <c r="F46" s="415"/>
      <c r="G46" s="413"/>
      <c r="H46" s="413"/>
      <c r="I46" s="416"/>
      <c r="J46" s="413"/>
      <c r="K46" s="413"/>
      <c r="L46" s="412"/>
      <c r="M46" s="412"/>
      <c r="N46" s="412"/>
      <c r="O46" s="412"/>
      <c r="P46" s="412"/>
      <c r="Q46" s="411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</row>
    <row r="47" spans="1:32" ht="11" customHeight="1">
      <c r="A47" s="415"/>
      <c r="B47" s="416"/>
      <c r="C47" s="413"/>
      <c r="D47" s="413"/>
      <c r="E47" s="413"/>
      <c r="F47" s="415"/>
      <c r="G47" s="413"/>
      <c r="H47" s="413"/>
      <c r="I47" s="414"/>
      <c r="J47" s="413"/>
      <c r="K47" s="413"/>
      <c r="L47" s="412"/>
      <c r="M47" s="412"/>
      <c r="N47" s="412"/>
      <c r="O47" s="412"/>
      <c r="P47" s="412"/>
      <c r="Q47" s="411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</row>
    <row r="48" spans="1:32" ht="13">
      <c r="C48" s="95"/>
      <c r="D48" s="95"/>
      <c r="E48" s="95"/>
      <c r="F48" s="95"/>
      <c r="G48" s="95"/>
      <c r="H48" s="95"/>
      <c r="I48" s="95"/>
      <c r="J48" s="95"/>
      <c r="K48" s="95"/>
      <c r="L48" s="93"/>
      <c r="M48" s="93"/>
      <c r="N48" s="93"/>
      <c r="O48" s="93"/>
      <c r="P48" s="93"/>
      <c r="Q48" s="411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</row>
    <row r="49" spans="1:32" ht="13">
      <c r="C49" s="95"/>
      <c r="D49" s="95"/>
      <c r="E49" s="95"/>
      <c r="F49" s="95"/>
      <c r="G49" s="95"/>
      <c r="H49" s="95"/>
      <c r="I49" s="95"/>
      <c r="J49" s="95"/>
      <c r="K49" s="95"/>
      <c r="L49" s="93"/>
      <c r="M49" s="93"/>
      <c r="N49" s="93"/>
      <c r="O49" s="93"/>
      <c r="P49" s="93"/>
      <c r="Q49" s="411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</row>
    <row r="50" spans="1:32" ht="13">
      <c r="C50" s="95"/>
      <c r="D50" s="95"/>
      <c r="E50" s="95"/>
      <c r="F50" s="95"/>
      <c r="G50" s="95"/>
      <c r="H50" s="95"/>
      <c r="I50" s="95"/>
      <c r="J50" s="95"/>
      <c r="K50" s="95"/>
      <c r="L50" s="93"/>
      <c r="M50" s="93"/>
      <c r="N50" s="93"/>
      <c r="O50" s="93"/>
      <c r="P50" s="93"/>
      <c r="Q50" s="411"/>
      <c r="R50" s="410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</row>
    <row r="51" spans="1:32" ht="13">
      <c r="C51" s="95"/>
      <c r="D51" s="95"/>
      <c r="E51" s="95"/>
      <c r="F51" s="95"/>
      <c r="G51" s="95"/>
      <c r="H51" s="95"/>
      <c r="I51" s="95"/>
      <c r="J51" s="95"/>
      <c r="K51" s="95"/>
      <c r="L51" s="93"/>
      <c r="M51" s="93"/>
      <c r="N51" s="93"/>
      <c r="O51" s="93"/>
      <c r="P51" s="93"/>
      <c r="Q51" s="411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</row>
    <row r="52" spans="1:32" ht="13">
      <c r="B52" s="50"/>
      <c r="C52" s="95"/>
      <c r="D52" s="95"/>
      <c r="E52" s="95"/>
      <c r="F52" s="95"/>
      <c r="G52" s="95"/>
      <c r="H52" s="95"/>
      <c r="I52" s="95"/>
      <c r="J52" s="95"/>
      <c r="K52" s="95"/>
      <c r="L52" s="93"/>
      <c r="M52" s="93"/>
      <c r="N52" s="93"/>
      <c r="O52" s="93"/>
      <c r="P52" s="93"/>
      <c r="Q52" s="411"/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410"/>
      <c r="AC52" s="410"/>
      <c r="AD52" s="410"/>
      <c r="AE52" s="410"/>
      <c r="AF52" s="410"/>
    </row>
    <row r="53" spans="1:32" ht="13">
      <c r="A53" s="93"/>
      <c r="B53" s="50"/>
      <c r="C53" s="93"/>
      <c r="D53" s="95"/>
      <c r="E53" s="95"/>
      <c r="F53" s="95"/>
      <c r="G53" s="95"/>
      <c r="H53" s="95"/>
      <c r="I53" s="95"/>
      <c r="J53" s="95"/>
      <c r="K53" s="95"/>
      <c r="L53" s="93"/>
      <c r="M53" s="93"/>
      <c r="N53" s="93"/>
      <c r="O53" s="93"/>
      <c r="P53" s="93"/>
      <c r="Q53" s="411"/>
      <c r="R53" s="410"/>
      <c r="S53" s="410"/>
      <c r="T53" s="410"/>
      <c r="U53" s="410"/>
      <c r="V53" s="410"/>
      <c r="W53" s="410"/>
      <c r="X53" s="410"/>
      <c r="Y53" s="410"/>
      <c r="Z53" s="410"/>
      <c r="AA53" s="410"/>
      <c r="AB53" s="410"/>
      <c r="AC53" s="410"/>
      <c r="AD53" s="410"/>
      <c r="AE53" s="410"/>
      <c r="AF53" s="410"/>
    </row>
    <row r="54" spans="1:32">
      <c r="A54" s="93"/>
      <c r="B54" s="200"/>
      <c r="C54" s="95"/>
      <c r="D54" s="95"/>
      <c r="E54" s="95"/>
      <c r="F54" s="95"/>
      <c r="G54" s="95"/>
      <c r="H54" s="95"/>
      <c r="I54" s="95"/>
      <c r="J54" s="95"/>
      <c r="K54" s="95"/>
      <c r="L54" s="93"/>
      <c r="M54" s="93"/>
      <c r="N54" s="93"/>
      <c r="O54" s="93"/>
      <c r="P54" s="93"/>
      <c r="Q54" s="103"/>
    </row>
    <row r="55" spans="1:32">
      <c r="A55" s="93"/>
      <c r="B55" s="8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103"/>
    </row>
    <row r="56" spans="1:32">
      <c r="A56" s="93"/>
      <c r="B56" s="85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103"/>
    </row>
    <row r="57" spans="1:32">
      <c r="A57" s="93"/>
      <c r="B57" s="85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103"/>
    </row>
    <row r="58" spans="1:32">
      <c r="A58" s="103"/>
      <c r="B58" s="409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32">
      <c r="A59" s="103"/>
      <c r="B59" s="409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32">
      <c r="A60" s="103"/>
      <c r="B60" s="409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32">
      <c r="A61" s="103"/>
      <c r="B61" s="409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32">
      <c r="A62" s="103"/>
      <c r="B62" s="409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32">
      <c r="A63" s="103"/>
      <c r="B63" s="409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32">
      <c r="A64" s="103"/>
      <c r="B64" s="409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>
      <c r="A65" s="103"/>
      <c r="B65" s="409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>
      <c r="A66" s="103"/>
      <c r="B66" s="409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1:17">
      <c r="A67" s="103"/>
      <c r="B67" s="409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1:17">
      <c r="A68" s="103"/>
      <c r="B68" s="409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1:17">
      <c r="A69" s="103"/>
      <c r="B69" s="409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</sheetData>
  <sheetProtection sheet="1" objects="1" scenarios="1"/>
  <printOptions horizontalCentered="1" verticalCentered="1"/>
  <pageMargins left="0.39370078740157483" right="0.39370078740157483" top="0.47244094488188981" bottom="0.47244094488188981" header="0.39370078740157483" footer="0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D30" sqref="D30"/>
    </sheetView>
  </sheetViews>
  <sheetFormatPr baseColWidth="10" defaultRowHeight="12" x14ac:dyDescent="0"/>
  <cols>
    <col min="1" max="1" width="2.6640625" style="2" customWidth="1"/>
    <col min="2" max="2" width="18.6640625" style="2" customWidth="1"/>
    <col min="3" max="3" width="7.5" style="425" customWidth="1"/>
    <col min="4" max="17" width="7.1640625" style="2" customWidth="1"/>
    <col min="18" max="16384" width="10.83203125" style="2"/>
  </cols>
  <sheetData>
    <row r="1" spans="1:17" s="9" customFormat="1">
      <c r="A1" s="403" t="s">
        <v>700</v>
      </c>
      <c r="B1" s="441"/>
      <c r="C1" s="441"/>
      <c r="D1" s="63"/>
      <c r="E1" s="60"/>
      <c r="F1" s="60"/>
      <c r="G1" s="60"/>
      <c r="H1" s="60"/>
      <c r="I1" s="397"/>
      <c r="J1" s="397"/>
      <c r="K1" s="397"/>
      <c r="L1" s="397"/>
      <c r="M1" s="397"/>
      <c r="N1" s="397"/>
      <c r="O1" s="397"/>
      <c r="P1" s="397"/>
      <c r="Q1" s="397"/>
    </row>
    <row r="2" spans="1:17" s="9" customFormat="1">
      <c r="A2" s="403"/>
      <c r="B2" s="64"/>
      <c r="C2" s="441"/>
      <c r="D2" s="63"/>
      <c r="E2" s="60"/>
      <c r="F2" s="60"/>
      <c r="G2" s="60"/>
      <c r="H2" s="60"/>
      <c r="I2" s="397"/>
      <c r="J2" s="397"/>
      <c r="K2" s="397"/>
      <c r="L2" s="397"/>
      <c r="M2" s="397"/>
      <c r="N2" s="397"/>
      <c r="O2" s="397"/>
      <c r="P2" s="397"/>
      <c r="Q2" s="397"/>
    </row>
    <row r="3" spans="1:17" s="9" customFormat="1">
      <c r="A3" s="64" t="s">
        <v>699</v>
      </c>
      <c r="B3" s="64"/>
      <c r="C3" s="441"/>
      <c r="D3" s="63"/>
      <c r="E3" s="60"/>
      <c r="F3" s="60"/>
      <c r="G3" s="60"/>
      <c r="H3" s="60"/>
      <c r="I3" s="397"/>
      <c r="J3" s="397"/>
      <c r="K3" s="397"/>
      <c r="L3" s="397"/>
      <c r="M3" s="397"/>
      <c r="N3" s="397"/>
      <c r="O3" s="397"/>
      <c r="P3" s="397"/>
      <c r="Q3" s="397"/>
    </row>
    <row r="4" spans="1:17" s="9" customFormat="1" ht="13" thickBot="1">
      <c r="A4" s="441"/>
      <c r="B4" s="403"/>
      <c r="C4" s="64"/>
      <c r="D4" s="63"/>
      <c r="E4" s="60"/>
      <c r="F4" s="60"/>
      <c r="G4" s="60"/>
      <c r="H4" s="60"/>
      <c r="I4" s="397"/>
      <c r="J4" s="397"/>
      <c r="K4" s="397"/>
      <c r="L4" s="397"/>
      <c r="M4" s="397"/>
      <c r="N4" s="397"/>
      <c r="O4" s="397"/>
      <c r="P4" s="397"/>
      <c r="Q4" s="397"/>
    </row>
    <row r="5" spans="1:17" s="115" customFormat="1" ht="18.75" customHeight="1" thickTop="1" thickBot="1">
      <c r="A5" s="391"/>
      <c r="B5" s="391"/>
      <c r="C5" s="391"/>
      <c r="D5" s="391">
        <v>1925</v>
      </c>
      <c r="E5" s="391">
        <v>1926</v>
      </c>
      <c r="F5" s="391">
        <v>1927</v>
      </c>
      <c r="G5" s="391">
        <v>1928</v>
      </c>
      <c r="H5" s="391">
        <v>1929</v>
      </c>
      <c r="I5" s="391">
        <v>1930</v>
      </c>
      <c r="J5" s="391">
        <v>1931</v>
      </c>
      <c r="K5" s="391">
        <v>1932</v>
      </c>
      <c r="L5" s="391">
        <v>1933</v>
      </c>
      <c r="M5" s="391">
        <v>1934</v>
      </c>
      <c r="N5" s="391">
        <v>1935</v>
      </c>
      <c r="O5" s="391">
        <v>1936</v>
      </c>
      <c r="P5" s="391">
        <v>1937</v>
      </c>
      <c r="Q5" s="391">
        <v>1938</v>
      </c>
    </row>
    <row r="6" spans="1:17" ht="20" customHeight="1" thickTop="1">
      <c r="A6" s="102" t="s">
        <v>38</v>
      </c>
      <c r="B6" s="102" t="s">
        <v>605</v>
      </c>
      <c r="C6" s="200" t="s">
        <v>574</v>
      </c>
      <c r="D6" s="440">
        <f>'b-1d'!E22*0.001</f>
        <v>57.234000000000002</v>
      </c>
      <c r="E6" s="440">
        <f>'b-1d'!F22*0.001</f>
        <v>59.828515433914326</v>
      </c>
      <c r="F6" s="440">
        <f>'b-1d'!G22*0.001</f>
        <v>66.95162374198398</v>
      </c>
      <c r="G6" s="440">
        <f>'b-1d'!H22*0.001</f>
        <v>71.917822659945287</v>
      </c>
      <c r="H6" s="440">
        <f>'b-1d'!I22*0.001</f>
        <v>71.601241789726629</v>
      </c>
      <c r="I6" s="440">
        <f>'b-1d'!J22*0.001</f>
        <v>65.357890425924325</v>
      </c>
      <c r="J6" s="440">
        <f>'b-1d'!K22*0.001</f>
        <v>52.887964635663941</v>
      </c>
      <c r="K6" s="440">
        <f>'b-1d'!L22*0.001</f>
        <v>41.769654494432501</v>
      </c>
      <c r="L6" s="440">
        <f>'b-1d'!M22*0.001</f>
        <v>43.199700030672759</v>
      </c>
      <c r="M6" s="440">
        <f>'b-1d'!N22*0.001</f>
        <v>49.534260569582706</v>
      </c>
      <c r="N6" s="440">
        <f>'b-1d'!O22*0.001</f>
        <v>55.769504153666219</v>
      </c>
      <c r="O6" s="440">
        <f>'b-1d'!P22*0.001</f>
        <v>62.376154661853711</v>
      </c>
      <c r="P6" s="440">
        <f>'b-1d'!Q22*0.001</f>
        <v>70.110582354243732</v>
      </c>
      <c r="Q6" s="440">
        <f>'b-1d'!R22*0.001</f>
        <v>78.137215934828575</v>
      </c>
    </row>
    <row r="7" spans="1:17" ht="24">
      <c r="A7" s="383"/>
      <c r="B7" s="398" t="s">
        <v>698</v>
      </c>
      <c r="C7" s="200" t="s">
        <v>616</v>
      </c>
      <c r="D7" s="200">
        <f>'b-3d'!D12</f>
        <v>5.6310000000000002</v>
      </c>
      <c r="E7" s="200">
        <f>'b-3d'!E12</f>
        <v>5.8789999999999996</v>
      </c>
      <c r="F7" s="200">
        <f>'b-3d'!F12</f>
        <v>6.4269999999999996</v>
      </c>
      <c r="G7" s="200">
        <f>'b-3d'!G12</f>
        <v>6.702</v>
      </c>
      <c r="H7" s="200">
        <f>'b-3d'!H12</f>
        <v>6.9379999999999997</v>
      </c>
      <c r="I7" s="200">
        <f>'b-3d'!I12</f>
        <v>6.8810000000000002</v>
      </c>
      <c r="J7" s="200">
        <f>'b-3d'!J12</f>
        <v>6.3630000000000004</v>
      </c>
      <c r="K7" s="200">
        <f>'b-3d'!K12</f>
        <v>5.827</v>
      </c>
      <c r="L7" s="200">
        <f>'b-3d'!L12</f>
        <v>5.8170000000000002</v>
      </c>
      <c r="M7" s="200">
        <f>'b-3d'!M12</f>
        <v>5.8280000000000003</v>
      </c>
      <c r="N7" s="200">
        <f>'b-3d'!N12</f>
        <v>6.4</v>
      </c>
      <c r="O7" s="200">
        <f>'b-3d'!O12</f>
        <v>7</v>
      </c>
      <c r="P7" s="200">
        <f>'b-3d'!P12</f>
        <v>7.4</v>
      </c>
      <c r="Q7" s="200">
        <f>'b-3d'!Q12</f>
        <v>7.8</v>
      </c>
    </row>
    <row r="8" spans="1:17">
      <c r="A8" s="383"/>
      <c r="B8" s="52" t="s">
        <v>697</v>
      </c>
      <c r="C8" s="200" t="s">
        <v>528</v>
      </c>
      <c r="D8" s="440">
        <f>'a-12'!D48*0.001</f>
        <v>8.3939000000000004</v>
      </c>
      <c r="E8" s="440">
        <f>'a-12'!E48*0.001</f>
        <v>8.0524000000000004</v>
      </c>
      <c r="F8" s="440">
        <f>'a-12'!F48*0.001</f>
        <v>9.6019000000000005</v>
      </c>
      <c r="G8" s="440">
        <f>'a-12'!G48*0.001</f>
        <v>10.081799999999999</v>
      </c>
      <c r="H8" s="440">
        <f>'a-12'!H48*0.001</f>
        <v>10.089399999999999</v>
      </c>
      <c r="I8" s="440">
        <f>'a-12'!I48*0.001</f>
        <v>9.9867000000000008</v>
      </c>
      <c r="J8" s="440">
        <f>'a-12'!J48*0.001</f>
        <v>9.0020000000000007</v>
      </c>
      <c r="K8" s="440">
        <f>'a-12'!K48*0.001</f>
        <v>8.2571000000000012</v>
      </c>
      <c r="L8" s="440">
        <f>'a-12'!L48*0.001</f>
        <v>8.3211000000000013</v>
      </c>
      <c r="M8" s="440">
        <f>'a-12'!M48*0.001</f>
        <v>8.7357999999999993</v>
      </c>
      <c r="N8" s="440">
        <f>'a-12'!N48*0.001</f>
        <v>9.3475999999999999</v>
      </c>
      <c r="O8" s="440">
        <f>'a-12'!O48*0.001</f>
        <v>10.1051</v>
      </c>
      <c r="P8" s="440">
        <f>'a-12'!P48*0.001</f>
        <v>11.4573</v>
      </c>
      <c r="Q8" s="440">
        <f>'a-12'!Q48*0.001</f>
        <v>13.142700000000001</v>
      </c>
    </row>
    <row r="9" spans="1:17" ht="24">
      <c r="A9" s="383"/>
      <c r="B9" s="398" t="s">
        <v>696</v>
      </c>
      <c r="C9" s="200" t="s">
        <v>554</v>
      </c>
      <c r="D9" s="200">
        <f>'a-12'!D22*0.001</f>
        <v>0.114</v>
      </c>
      <c r="E9" s="200">
        <f>'a-12'!E22*0.001</f>
        <v>0.10300000000000001</v>
      </c>
      <c r="F9" s="200">
        <f>'a-12'!F22*0.001</f>
        <v>0.16</v>
      </c>
      <c r="G9" s="200">
        <f>'a-12'!G22*0.001</f>
        <v>0.216</v>
      </c>
      <c r="H9" s="200">
        <f>'a-12'!H22*0.001</f>
        <v>0.18099999999999999</v>
      </c>
      <c r="I9" s="200">
        <f>'a-12'!I22*0.001</f>
        <v>0.29099999999999998</v>
      </c>
      <c r="J9" s="200">
        <f>'a-12'!J22*0.001</f>
        <v>0.3</v>
      </c>
      <c r="K9" s="200">
        <f>'a-12'!K22*0.001</f>
        <v>0.31</v>
      </c>
      <c r="L9" s="200">
        <f>'a-12'!L22*0.001</f>
        <v>0.312</v>
      </c>
      <c r="M9" s="200">
        <f>'a-12'!M22*0.001</f>
        <v>0.34400000000000003</v>
      </c>
      <c r="N9" s="200">
        <f>'a-12'!N22*0.001</f>
        <v>0.32</v>
      </c>
      <c r="O9" s="200">
        <f>'a-12'!O22*0.001</f>
        <v>0.31</v>
      </c>
      <c r="P9" s="200">
        <f>'a-12'!P22*0.001</f>
        <v>0.35000000000000003</v>
      </c>
      <c r="Q9" s="200">
        <f>'a-12'!Q22*0.001</f>
        <v>0.36</v>
      </c>
    </row>
    <row r="10" spans="1:17" ht="24">
      <c r="A10" s="404" t="s">
        <v>140</v>
      </c>
      <c r="B10" s="398" t="s">
        <v>695</v>
      </c>
      <c r="C10" s="200" t="s">
        <v>694</v>
      </c>
      <c r="D10" s="440">
        <f t="shared" ref="D10:Q10" si="0">D6+D7+D8-D9</f>
        <v>71.144899999999993</v>
      </c>
      <c r="E10" s="440">
        <f t="shared" si="0"/>
        <v>73.656915433914335</v>
      </c>
      <c r="F10" s="440">
        <f t="shared" si="0"/>
        <v>82.820523741983976</v>
      </c>
      <c r="G10" s="440">
        <f t="shared" si="0"/>
        <v>88.485622659945292</v>
      </c>
      <c r="H10" s="440">
        <f t="shared" si="0"/>
        <v>88.447641789726632</v>
      </c>
      <c r="I10" s="440">
        <f t="shared" si="0"/>
        <v>81.934590425924327</v>
      </c>
      <c r="J10" s="440">
        <f t="shared" si="0"/>
        <v>67.952964635663946</v>
      </c>
      <c r="K10" s="440">
        <f t="shared" si="0"/>
        <v>55.543754494432498</v>
      </c>
      <c r="L10" s="440">
        <f t="shared" si="0"/>
        <v>57.025800030672762</v>
      </c>
      <c r="M10" s="440">
        <f t="shared" si="0"/>
        <v>63.754060569582713</v>
      </c>
      <c r="N10" s="440">
        <f t="shared" si="0"/>
        <v>71.197104153666231</v>
      </c>
      <c r="O10" s="440">
        <f t="shared" si="0"/>
        <v>79.171254661853709</v>
      </c>
      <c r="P10" s="440">
        <f t="shared" si="0"/>
        <v>88.617882354243747</v>
      </c>
      <c r="Q10" s="440">
        <f t="shared" si="0"/>
        <v>98.719915934828578</v>
      </c>
    </row>
    <row r="11" spans="1:17" s="436" customFormat="1" ht="24">
      <c r="A11" s="439"/>
      <c r="B11" s="438" t="s">
        <v>693</v>
      </c>
      <c r="C11" s="437" t="s">
        <v>537</v>
      </c>
      <c r="D11" s="437">
        <f>'a-12'!D44*0.001</f>
        <v>9.4657749999999972</v>
      </c>
      <c r="E11" s="437">
        <f>'a-12'!E44*0.001</f>
        <v>9.7581000126953086</v>
      </c>
      <c r="F11" s="437">
        <f>'a-12'!F44*0.001</f>
        <v>11.490332445174403</v>
      </c>
      <c r="G11" s="437">
        <f>'a-12'!G44*0.001</f>
        <v>11.503647152157999</v>
      </c>
      <c r="H11" s="437">
        <f>'a-12'!H44*0.001</f>
        <v>12.896634820784634</v>
      </c>
      <c r="I11" s="437">
        <f>'a-12'!I44*0.001</f>
        <v>12.018481547297057</v>
      </c>
      <c r="J11" s="437">
        <f>'a-12'!J44*0.001</f>
        <v>9.4061723424866734</v>
      </c>
      <c r="K11" s="437">
        <f>'a-12'!K44*0.001</f>
        <v>7.5849752408023594</v>
      </c>
      <c r="L11" s="437">
        <f>'a-12'!L44*0.001</f>
        <v>9.3127837217306517</v>
      </c>
      <c r="M11" s="437">
        <f>'a-12'!M44*0.001</f>
        <v>13.116055676642233</v>
      </c>
      <c r="N11" s="437">
        <f>'a-12'!N44*0.001</f>
        <v>14.866666565644493</v>
      </c>
      <c r="O11" s="437">
        <f>'a-12'!O44*0.001</f>
        <v>16.114927701849076</v>
      </c>
      <c r="P11" s="437">
        <f>'a-12'!P44*0.001</f>
        <v>21.783393392237901</v>
      </c>
      <c r="Q11" s="437">
        <f>'a-12'!Q44*0.001</f>
        <v>30.097988172712025</v>
      </c>
    </row>
    <row r="12" spans="1:17" ht="24.75" customHeight="1">
      <c r="A12" s="383"/>
      <c r="B12" s="397" t="s">
        <v>692</v>
      </c>
      <c r="C12" s="200" t="s">
        <v>618</v>
      </c>
      <c r="D12" s="200">
        <f>'b-3d'!D11</f>
        <v>8.9049999999999994</v>
      </c>
      <c r="E12" s="200">
        <f>'b-3d'!E11</f>
        <v>8.391</v>
      </c>
      <c r="F12" s="200">
        <f>'b-3d'!F11</f>
        <v>10.276</v>
      </c>
      <c r="G12" s="200">
        <f>'b-3d'!G11</f>
        <v>11.018000000000001</v>
      </c>
      <c r="H12" s="200">
        <f>'b-3d'!H11</f>
        <v>10.116</v>
      </c>
      <c r="I12" s="200">
        <f>'b-3d'!I11</f>
        <v>8.2799999999999994</v>
      </c>
      <c r="J12" s="200">
        <f>'b-3d'!J11</f>
        <v>4.9819999999999993</v>
      </c>
      <c r="K12" s="200">
        <f>'b-3d'!K11</f>
        <v>3.13</v>
      </c>
      <c r="L12" s="200">
        <f>'b-3d'!L11</f>
        <v>3.6480000000000001</v>
      </c>
      <c r="M12" s="200">
        <f>'b-3d'!M11</f>
        <v>5.2360000000000007</v>
      </c>
      <c r="N12" s="200">
        <f>'b-3d'!N11</f>
        <v>6.6999999999999993</v>
      </c>
      <c r="O12" s="200">
        <f>'b-3d'!O11</f>
        <v>8.4</v>
      </c>
      <c r="P12" s="200">
        <f>'b-3d'!P11</f>
        <v>9.9</v>
      </c>
      <c r="Q12" s="200">
        <f>'b-3d'!Q11</f>
        <v>11.1</v>
      </c>
    </row>
    <row r="13" spans="1:17">
      <c r="A13" s="383"/>
      <c r="B13" s="52" t="s">
        <v>691</v>
      </c>
      <c r="C13" s="200" t="s">
        <v>690</v>
      </c>
      <c r="D13" s="200">
        <v>1.32</v>
      </c>
      <c r="E13" s="200">
        <v>-0.83</v>
      </c>
      <c r="F13" s="200">
        <v>2.38</v>
      </c>
      <c r="G13" s="200">
        <v>1.31</v>
      </c>
      <c r="H13" s="200">
        <v>0.36</v>
      </c>
      <c r="I13" s="200">
        <v>-1.74</v>
      </c>
      <c r="J13" s="200">
        <v>-3.13</v>
      </c>
      <c r="K13" s="200">
        <v>-1.52</v>
      </c>
      <c r="L13" s="200">
        <v>0.44</v>
      </c>
      <c r="M13" s="200">
        <v>1.05</v>
      </c>
      <c r="N13" s="200">
        <v>1.24</v>
      </c>
      <c r="O13" s="200">
        <v>1.42</v>
      </c>
      <c r="P13" s="200">
        <v>1.59</v>
      </c>
      <c r="Q13" s="200">
        <v>1.77</v>
      </c>
    </row>
    <row r="14" spans="1:17" s="80" customFormat="1">
      <c r="B14" s="435" t="s">
        <v>689</v>
      </c>
      <c r="C14" s="386" t="s">
        <v>649</v>
      </c>
      <c r="D14" s="386">
        <f>'b-4d'!C25*0.001</f>
        <v>-1.988</v>
      </c>
      <c r="E14" s="386">
        <f>'b-4d'!D25*0.001</f>
        <v>1.1520000000000001</v>
      </c>
      <c r="F14" s="386">
        <f>'b-4d'!E25*0.001</f>
        <v>-2.66</v>
      </c>
      <c r="G14" s="386">
        <f>'b-4d'!F25*0.001</f>
        <v>-1.202</v>
      </c>
      <c r="H14" s="386">
        <f>'b-4d'!G25*0.001</f>
        <v>-0.13200000000000001</v>
      </c>
      <c r="I14" s="386">
        <f>'b-4d'!H25*0.001</f>
        <v>1.0960000000000001</v>
      </c>
      <c r="J14" s="386">
        <f>'b-4d'!I25*0.001</f>
        <v>2.028</v>
      </c>
      <c r="K14" s="386">
        <f>'b-4d'!J25*0.001</f>
        <v>0.41699999999999998</v>
      </c>
      <c r="L14" s="386">
        <f>'b-4d'!K25*0.001</f>
        <v>0.28100000000000003</v>
      </c>
      <c r="M14" s="386">
        <f>'b-4d'!L25*0.001</f>
        <v>-0.53400000000000003</v>
      </c>
      <c r="N14" s="386">
        <f>'b-4d'!M25*0.001</f>
        <v>-0.107</v>
      </c>
      <c r="O14" s="386">
        <f>'b-4d'!N25*0.001</f>
        <v>0.61499999999999999</v>
      </c>
      <c r="P14" s="386">
        <f>'b-4d'!O25*0.001</f>
        <v>0.25900000000000001</v>
      </c>
      <c r="Q14" s="386">
        <f>'b-4d'!P25*0.001</f>
        <v>-0.56600000000000006</v>
      </c>
    </row>
    <row r="15" spans="1:17">
      <c r="A15" s="383"/>
      <c r="B15" s="398" t="s">
        <v>688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</row>
    <row r="16" spans="1:17">
      <c r="A16" s="102" t="s">
        <v>23</v>
      </c>
      <c r="B16" s="102" t="s">
        <v>687</v>
      </c>
      <c r="C16" s="200" t="s">
        <v>686</v>
      </c>
      <c r="D16" s="434">
        <f t="shared" ref="D16:Q16" si="1">D10-D11-D12-D13-D14</f>
        <v>53.442124999999997</v>
      </c>
      <c r="E16" s="434">
        <f t="shared" si="1"/>
        <v>55.185815421219026</v>
      </c>
      <c r="F16" s="434">
        <f t="shared" si="1"/>
        <v>61.334191296809578</v>
      </c>
      <c r="G16" s="434">
        <f t="shared" si="1"/>
        <v>65.855975507787292</v>
      </c>
      <c r="H16" s="434">
        <f t="shared" si="1"/>
        <v>65.207006968942011</v>
      </c>
      <c r="I16" s="434">
        <f t="shared" si="1"/>
        <v>62.280108878627274</v>
      </c>
      <c r="J16" s="434">
        <f t="shared" si="1"/>
        <v>54.666792293177281</v>
      </c>
      <c r="K16" s="434">
        <f t="shared" si="1"/>
        <v>45.93177925363014</v>
      </c>
      <c r="L16" s="434">
        <f t="shared" si="1"/>
        <v>43.344016308942109</v>
      </c>
      <c r="M16" s="434">
        <f t="shared" si="1"/>
        <v>44.886004892940484</v>
      </c>
      <c r="N16" s="434">
        <f t="shared" si="1"/>
        <v>48.497437588021732</v>
      </c>
      <c r="O16" s="434">
        <f t="shared" si="1"/>
        <v>52.62132696000463</v>
      </c>
      <c r="P16" s="434">
        <f t="shared" si="1"/>
        <v>55.085488962005847</v>
      </c>
      <c r="Q16" s="434">
        <f t="shared" si="1"/>
        <v>56.317927762116554</v>
      </c>
    </row>
    <row r="17" spans="1:18" ht="36">
      <c r="A17" s="383"/>
      <c r="B17" s="398" t="s">
        <v>685</v>
      </c>
      <c r="C17" s="200" t="s">
        <v>684</v>
      </c>
      <c r="D17" s="203">
        <v>52.79</v>
      </c>
      <c r="E17" s="203">
        <v>51.78</v>
      </c>
      <c r="F17" s="203">
        <v>62.04</v>
      </c>
      <c r="G17" s="203">
        <v>64.260000000000005</v>
      </c>
      <c r="H17" s="203">
        <v>63.94</v>
      </c>
      <c r="I17" s="203">
        <v>58.45</v>
      </c>
      <c r="J17" s="203">
        <v>51.13</v>
      </c>
      <c r="K17" s="203">
        <v>44.92</v>
      </c>
      <c r="L17" s="203">
        <v>45.69</v>
      </c>
      <c r="M17" s="203">
        <v>49.48</v>
      </c>
      <c r="N17" s="203">
        <v>50.68</v>
      </c>
      <c r="O17" s="203">
        <v>51.85</v>
      </c>
      <c r="P17" s="203">
        <v>55.23</v>
      </c>
      <c r="Q17" s="203">
        <v>58.45</v>
      </c>
    </row>
    <row r="18" spans="1:18" ht="6" customHeight="1" thickBot="1">
      <c r="A18" s="100"/>
      <c r="B18" s="100"/>
      <c r="C18" s="433"/>
      <c r="D18" s="100"/>
      <c r="E18" s="432"/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432"/>
      <c r="Q18" s="432"/>
    </row>
    <row r="19" spans="1:18" ht="13" thickTop="1">
      <c r="R19" s="9"/>
    </row>
    <row r="20" spans="1:18">
      <c r="A20" s="428"/>
      <c r="C20" s="93"/>
      <c r="D20" s="93"/>
      <c r="E20" s="93"/>
      <c r="F20" s="428"/>
      <c r="G20" s="428"/>
      <c r="H20" s="428"/>
      <c r="I20" s="428"/>
      <c r="J20" s="428"/>
      <c r="K20" s="52"/>
      <c r="L20" s="429"/>
      <c r="M20" s="429"/>
      <c r="N20" s="429"/>
      <c r="O20" s="429"/>
      <c r="P20" s="429"/>
      <c r="Q20" s="429"/>
    </row>
    <row r="21" spans="1:18"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6"/>
    </row>
    <row r="22" spans="1:18">
      <c r="A22" s="428"/>
      <c r="C22" s="249"/>
      <c r="D22" s="428"/>
      <c r="E22" s="431"/>
      <c r="F22" s="95"/>
      <c r="G22" s="95"/>
      <c r="H22" s="95"/>
      <c r="I22" s="95"/>
      <c r="J22" s="95"/>
      <c r="K22" s="95"/>
      <c r="L22" s="397"/>
      <c r="M22" s="397"/>
      <c r="N22" s="397"/>
      <c r="O22" s="397"/>
      <c r="P22" s="397"/>
      <c r="Q22" s="397"/>
      <c r="R22" s="56"/>
    </row>
    <row r="23" spans="1:18">
      <c r="A23" s="428"/>
      <c r="C23" s="430"/>
      <c r="D23" s="428"/>
      <c r="E23" s="431"/>
      <c r="F23" s="95"/>
      <c r="G23" s="95"/>
      <c r="H23" s="95"/>
      <c r="I23" s="95"/>
      <c r="J23" s="95"/>
      <c r="K23" s="95"/>
      <c r="L23" s="397"/>
      <c r="M23" s="397"/>
      <c r="N23" s="397"/>
      <c r="O23" s="397"/>
      <c r="P23" s="397"/>
      <c r="Q23" s="397"/>
      <c r="R23" s="9"/>
    </row>
    <row r="24" spans="1:18">
      <c r="A24" s="428"/>
      <c r="C24" s="430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9"/>
    </row>
    <row r="25" spans="1:18">
      <c r="A25" s="428"/>
      <c r="B25" s="9"/>
      <c r="C25" s="42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B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427"/>
      <c r="Q26" s="9"/>
      <c r="R26" s="9"/>
    </row>
    <row r="27" spans="1:18">
      <c r="B27" s="9"/>
      <c r="C27" s="42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>
      <c r="B28" s="9"/>
      <c r="C28" s="42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B29" s="9"/>
      <c r="C29" s="42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B30" s="9"/>
      <c r="C30" s="426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B31" s="9"/>
      <c r="C31" s="426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>
      <c r="B32" s="9"/>
      <c r="C32" s="426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>
      <c r="B33" s="9"/>
      <c r="C33" s="426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>
      <c r="B34" s="9"/>
      <c r="C34" s="426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>
      <c r="B35" s="9"/>
      <c r="C35" s="426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2:18">
      <c r="B36" s="9"/>
      <c r="C36" s="426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2:18">
      <c r="B37" s="9"/>
      <c r="C37" s="426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>
      <c r="B38" s="9"/>
      <c r="C38" s="426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2:18">
      <c r="B39" s="9"/>
      <c r="C39" s="426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2:18">
      <c r="B40" s="9"/>
      <c r="C40" s="426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2:18">
      <c r="B41" s="9"/>
      <c r="C41" s="426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2:18">
      <c r="B42" s="9"/>
      <c r="C42" s="426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2:18">
      <c r="B43" s="9"/>
      <c r="C43" s="426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>
      <c r="B44" s="9"/>
      <c r="C44" s="426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2:18">
      <c r="B45" s="9"/>
      <c r="C45" s="426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</sheetData>
  <sheetProtection sheet="1" objects="1" scenarios="1"/>
  <printOptions verticalCentered="1"/>
  <pageMargins left="0.43307086614173229" right="0.6692913385826772" top="0.59055118110236227" bottom="1.1811023622047245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D17" sqref="D17"/>
    </sheetView>
  </sheetViews>
  <sheetFormatPr baseColWidth="10" defaultRowHeight="12" x14ac:dyDescent="0"/>
  <cols>
    <col min="1" max="1" width="3.1640625" style="2" customWidth="1"/>
    <col min="2" max="2" width="22.5" style="2" customWidth="1"/>
    <col min="3" max="3" width="6.5" style="2" customWidth="1"/>
    <col min="4" max="4" width="8.1640625" style="2" customWidth="1"/>
    <col min="5" max="17" width="6.1640625" style="2" customWidth="1"/>
    <col min="18" max="16384" width="10.83203125" style="2"/>
  </cols>
  <sheetData>
    <row r="1" spans="1:17" s="43" customFormat="1">
      <c r="A1" s="381" t="s">
        <v>726</v>
      </c>
      <c r="C1" s="382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s="43" customFormat="1">
      <c r="B2" s="381"/>
      <c r="C2" s="448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</row>
    <row r="3" spans="1:17" s="43" customFormat="1">
      <c r="A3" s="381" t="s">
        <v>725</v>
      </c>
      <c r="C3" s="448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</row>
    <row r="4" spans="1:17" s="43" customFormat="1" ht="13" thickBot="1">
      <c r="A4" s="447"/>
      <c r="B4" s="64"/>
      <c r="C4" s="7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115" customFormat="1" ht="18.75" customHeight="1" thickTop="1" thickBot="1">
      <c r="A5" s="446"/>
      <c r="B5" s="391"/>
      <c r="C5" s="391"/>
      <c r="D5" s="391">
        <v>1925</v>
      </c>
      <c r="E5" s="391">
        <v>1926</v>
      </c>
      <c r="F5" s="391">
        <v>1927</v>
      </c>
      <c r="G5" s="391">
        <v>1928</v>
      </c>
      <c r="H5" s="391">
        <v>1929</v>
      </c>
      <c r="I5" s="391">
        <v>1930</v>
      </c>
      <c r="J5" s="391">
        <v>1931</v>
      </c>
      <c r="K5" s="391">
        <v>1932</v>
      </c>
      <c r="L5" s="391">
        <v>1933</v>
      </c>
      <c r="M5" s="391">
        <v>1934</v>
      </c>
      <c r="N5" s="391">
        <v>1935</v>
      </c>
      <c r="O5" s="391">
        <v>1936</v>
      </c>
      <c r="P5" s="391">
        <v>1937</v>
      </c>
      <c r="Q5" s="391">
        <v>1938</v>
      </c>
    </row>
    <row r="6" spans="1:17" ht="18.75" customHeight="1" thickTop="1">
      <c r="B6" s="397" t="s">
        <v>724</v>
      </c>
      <c r="C6" s="200" t="s">
        <v>723</v>
      </c>
      <c r="D6" s="200">
        <v>171</v>
      </c>
      <c r="E6" s="200">
        <v>166</v>
      </c>
      <c r="F6" s="200">
        <v>168</v>
      </c>
      <c r="G6" s="200">
        <v>175.3</v>
      </c>
      <c r="H6" s="200">
        <v>178.1</v>
      </c>
      <c r="I6" s="200">
        <v>170.9</v>
      </c>
      <c r="J6" s="200">
        <v>155.9</v>
      </c>
      <c r="K6" s="200">
        <v>132.1</v>
      </c>
      <c r="L6" s="200">
        <v>125.9</v>
      </c>
      <c r="M6" s="200">
        <v>131.6</v>
      </c>
      <c r="N6" s="200">
        <v>131.80000000000001</v>
      </c>
      <c r="O6" s="200">
        <v>131.80000000000001</v>
      </c>
      <c r="P6" s="200">
        <v>134.69999999999999</v>
      </c>
      <c r="Q6" s="200">
        <v>136.1</v>
      </c>
    </row>
    <row r="7" spans="1:17" ht="24">
      <c r="B7" s="397" t="s">
        <v>722</v>
      </c>
      <c r="C7" s="200" t="s">
        <v>721</v>
      </c>
      <c r="D7" s="200">
        <v>153.19999999999999</v>
      </c>
      <c r="E7" s="200">
        <v>155.9</v>
      </c>
      <c r="F7" s="200">
        <v>160.80000000000001</v>
      </c>
      <c r="G7" s="200">
        <v>169.7</v>
      </c>
      <c r="H7" s="200">
        <v>175.7</v>
      </c>
      <c r="I7" s="200">
        <v>170</v>
      </c>
      <c r="J7" s="200">
        <v>149.1</v>
      </c>
      <c r="K7" s="200">
        <v>120.8</v>
      </c>
      <c r="L7" s="200">
        <v>114.2</v>
      </c>
      <c r="M7" s="200">
        <v>117.6</v>
      </c>
      <c r="N7" s="200">
        <v>120.1</v>
      </c>
      <c r="O7" s="200">
        <v>122.7</v>
      </c>
      <c r="P7" s="200">
        <v>124.9</v>
      </c>
      <c r="Q7" s="200">
        <v>130.69999999999999</v>
      </c>
    </row>
    <row r="8" spans="1:17" ht="24">
      <c r="B8" s="398" t="s">
        <v>720</v>
      </c>
      <c r="C8" s="200" t="s">
        <v>719</v>
      </c>
      <c r="D8" s="200">
        <f t="shared" ref="D8:Q8" si="0">(D6+D7)/2</f>
        <v>162.1</v>
      </c>
      <c r="E8" s="200">
        <f t="shared" si="0"/>
        <v>160.94999999999999</v>
      </c>
      <c r="F8" s="200">
        <f t="shared" si="0"/>
        <v>164.4</v>
      </c>
      <c r="G8" s="200">
        <f t="shared" si="0"/>
        <v>172.5</v>
      </c>
      <c r="H8" s="200">
        <f t="shared" si="0"/>
        <v>176.89999999999998</v>
      </c>
      <c r="I8" s="200">
        <f t="shared" si="0"/>
        <v>170.45</v>
      </c>
      <c r="J8" s="200">
        <f t="shared" si="0"/>
        <v>152.5</v>
      </c>
      <c r="K8" s="200">
        <f t="shared" si="0"/>
        <v>126.44999999999999</v>
      </c>
      <c r="L8" s="200">
        <f t="shared" si="0"/>
        <v>120.05000000000001</v>
      </c>
      <c r="M8" s="200">
        <f t="shared" si="0"/>
        <v>124.6</v>
      </c>
      <c r="N8" s="200">
        <f t="shared" si="0"/>
        <v>125.95</v>
      </c>
      <c r="O8" s="200">
        <f t="shared" si="0"/>
        <v>127.25</v>
      </c>
      <c r="P8" s="200">
        <f t="shared" si="0"/>
        <v>129.80000000000001</v>
      </c>
      <c r="Q8" s="200">
        <f t="shared" si="0"/>
        <v>133.39999999999998</v>
      </c>
    </row>
    <row r="9" spans="1:17" ht="36">
      <c r="B9" s="397" t="s">
        <v>718</v>
      </c>
      <c r="C9" s="200" t="s">
        <v>717</v>
      </c>
      <c r="D9" s="200">
        <v>136.4</v>
      </c>
      <c r="E9" s="200">
        <v>132.5</v>
      </c>
      <c r="F9" s="200">
        <v>129.69999999999999</v>
      </c>
      <c r="G9" s="200">
        <v>136.6</v>
      </c>
      <c r="H9" s="200">
        <v>138.1</v>
      </c>
      <c r="I9" s="200">
        <v>137.6</v>
      </c>
      <c r="J9" s="200">
        <v>131</v>
      </c>
      <c r="K9" s="200">
        <v>118.8</v>
      </c>
      <c r="L9" s="200">
        <v>114.7</v>
      </c>
      <c r="M9" s="200">
        <v>114.4</v>
      </c>
      <c r="N9" s="200">
        <v>113.7</v>
      </c>
      <c r="O9" s="200">
        <v>113.3</v>
      </c>
      <c r="P9" s="200">
        <v>113.2</v>
      </c>
      <c r="Q9" s="200">
        <v>113.2</v>
      </c>
    </row>
    <row r="10" spans="1:17">
      <c r="B10" s="398" t="s">
        <v>716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</row>
    <row r="11" spans="1:17" ht="24">
      <c r="A11" s="404" t="s">
        <v>715</v>
      </c>
      <c r="B11" s="404" t="s">
        <v>714</v>
      </c>
      <c r="C11" s="200" t="s">
        <v>713</v>
      </c>
      <c r="D11" s="440">
        <f>'b-3d'!D8*100/D9</f>
        <v>3.7478005865102637</v>
      </c>
      <c r="E11" s="440">
        <f>'b-3d'!E8*100/E9</f>
        <v>4.2083018867924524</v>
      </c>
      <c r="F11" s="440">
        <f>'b-3d'!F8*100/F9</f>
        <v>5.1395528141865849</v>
      </c>
      <c r="G11" s="440">
        <f>'b-3d'!G8*100/G9</f>
        <v>5.0336749633967797</v>
      </c>
      <c r="H11" s="440">
        <f>'b-3d'!H8*100/H9</f>
        <v>4.9790007241129617</v>
      </c>
      <c r="I11" s="440">
        <f>'b-3d'!I8*100/I9</f>
        <v>3.6133720930232562</v>
      </c>
      <c r="J11" s="440">
        <f>'b-3d'!J8*100/J9</f>
        <v>2.6244274809160308</v>
      </c>
      <c r="K11" s="440">
        <f>'b-3d'!K8*100/K9</f>
        <v>1.7887205387205387</v>
      </c>
      <c r="L11" s="440">
        <f>'b-3d'!L8*100/L9</f>
        <v>2.3225806451612905</v>
      </c>
      <c r="M11" s="440">
        <f>'b-3d'!M8*100/M9</f>
        <v>3.4781468531468533</v>
      </c>
      <c r="N11" s="440">
        <f>'b-3d'!N8*100/N9</f>
        <v>4.5734388742304306</v>
      </c>
      <c r="O11" s="440">
        <f>'b-3d'!O8*100/O9</f>
        <v>5.3839364518976174</v>
      </c>
      <c r="P11" s="440">
        <f>'b-3d'!P8*100/P9</f>
        <v>6.1837455830388688</v>
      </c>
      <c r="Q11" s="440">
        <f>'b-3d'!Q8*100/Q9</f>
        <v>7.5088339222614842</v>
      </c>
    </row>
    <row r="12" spans="1:17" ht="24">
      <c r="A12" s="404" t="s">
        <v>26</v>
      </c>
      <c r="B12" s="404" t="s">
        <v>712</v>
      </c>
      <c r="C12" s="200" t="s">
        <v>711</v>
      </c>
      <c r="D12" s="440">
        <f>'b-3d'!D9*100/D8</f>
        <v>3.2078963602714374</v>
      </c>
      <c r="E12" s="440">
        <f>'b-3d'!E9*100/E8</f>
        <v>3.1686859273066168</v>
      </c>
      <c r="F12" s="440">
        <f>'b-3d'!F9*100/F8</f>
        <v>3.8321167883211675</v>
      </c>
      <c r="G12" s="440">
        <f>'b-3d'!G9*100/G8</f>
        <v>3.9420289855072466</v>
      </c>
      <c r="H12" s="440">
        <f>'b-3d'!H9*100/H8</f>
        <v>3.3917467495760323</v>
      </c>
      <c r="I12" s="440">
        <f>'b-3d'!I9*100/I8</f>
        <v>3.1680844822528602</v>
      </c>
      <c r="J12" s="440">
        <f>'b-3d'!J9*100/J8</f>
        <v>1.9672131147540983</v>
      </c>
      <c r="K12" s="440">
        <f>'b-3d'!K9*100/K8</f>
        <v>1.6607354685646503</v>
      </c>
      <c r="L12" s="440">
        <f>'b-3d'!L9*100/L8</f>
        <v>1.999167013744273</v>
      </c>
      <c r="M12" s="440">
        <f>'b-3d'!M9*100/M8</f>
        <v>3.3707865168539328</v>
      </c>
      <c r="N12" s="440">
        <f>'b-3d'!N9*100/N8</f>
        <v>5.0813815005954739</v>
      </c>
      <c r="O12" s="440">
        <f>'b-3d'!O9*100/O8</f>
        <v>6.0510805500982316</v>
      </c>
      <c r="P12" s="440">
        <f>'b-3d'!P9*100/P8</f>
        <v>6.9337442218798149</v>
      </c>
      <c r="Q12" s="440">
        <f>'b-3d'!Q9*100/Q8</f>
        <v>7.8710644677661179</v>
      </c>
    </row>
    <row r="13" spans="1:17" ht="36">
      <c r="A13" s="404" t="s">
        <v>158</v>
      </c>
      <c r="B13" s="398" t="s">
        <v>710</v>
      </c>
      <c r="C13" s="200" t="s">
        <v>709</v>
      </c>
      <c r="D13" s="440">
        <f t="shared" ref="D13:Q13" si="1">D11+D12</f>
        <v>6.9556969467817016</v>
      </c>
      <c r="E13" s="440">
        <f t="shared" si="1"/>
        <v>7.3769878140990688</v>
      </c>
      <c r="F13" s="440">
        <f t="shared" si="1"/>
        <v>8.9716696025077525</v>
      </c>
      <c r="G13" s="440">
        <f t="shared" si="1"/>
        <v>8.9757039489040267</v>
      </c>
      <c r="H13" s="440">
        <f t="shared" si="1"/>
        <v>8.3707474736889935</v>
      </c>
      <c r="I13" s="440">
        <f t="shared" si="1"/>
        <v>6.7814565752761169</v>
      </c>
      <c r="J13" s="440">
        <f t="shared" si="1"/>
        <v>4.5916405956701292</v>
      </c>
      <c r="K13" s="440">
        <f t="shared" si="1"/>
        <v>3.449456007285189</v>
      </c>
      <c r="L13" s="440">
        <f t="shared" si="1"/>
        <v>4.3217476589055632</v>
      </c>
      <c r="M13" s="440">
        <f t="shared" si="1"/>
        <v>6.8489333700007862</v>
      </c>
      <c r="N13" s="440">
        <f t="shared" si="1"/>
        <v>9.6548203748259045</v>
      </c>
      <c r="O13" s="440">
        <f t="shared" si="1"/>
        <v>11.435017001995849</v>
      </c>
      <c r="P13" s="440">
        <f t="shared" si="1"/>
        <v>13.117489804918684</v>
      </c>
      <c r="Q13" s="440">
        <f t="shared" si="1"/>
        <v>15.379898390027602</v>
      </c>
    </row>
    <row r="14" spans="1:17">
      <c r="B14" s="398" t="s">
        <v>708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</row>
    <row r="15" spans="1:17" ht="36">
      <c r="B15" s="445" t="s">
        <v>707</v>
      </c>
      <c r="C15" s="200" t="s">
        <v>706</v>
      </c>
      <c r="D15" s="434">
        <f>D13-(100*'b-3d'!D10/'b-6d'!D8)</f>
        <v>6.0877142200697953</v>
      </c>
      <c r="E15" s="434">
        <f>E13-(100*'b-3d'!E10/'b-6d'!E8)</f>
        <v>5.9572922564724768</v>
      </c>
      <c r="F15" s="434">
        <f>F13-(100*'b-3d'!F10/'b-6d'!F8)</f>
        <v>7.3354165611452222</v>
      </c>
      <c r="G15" s="434">
        <f>G13-(100*'b-3d'!G10/'b-6d'!G8)</f>
        <v>7.4348343836866349</v>
      </c>
      <c r="H15" s="434">
        <f>H13-(100*'b-3d'!H10/'b-6d'!H8)</f>
        <v>6.8614201701276594</v>
      </c>
      <c r="I15" s="434">
        <f>I13-(100*'b-3d'!I10/'b-6d'!I8)</f>
        <v>5.5541171795588973</v>
      </c>
      <c r="J15" s="434">
        <f>J13-(100*'b-3d'!J10/'b-6d'!J8)</f>
        <v>3.6368864973094732</v>
      </c>
      <c r="K15" s="434">
        <f>K13-(100*'b-3d'!K10/'b-6d'!K8)</f>
        <v>2.5835010843907642</v>
      </c>
      <c r="L15" s="434">
        <f>L13-(100*'b-3d'!L10/'b-6d'!L8)</f>
        <v>3.1422391207964422</v>
      </c>
      <c r="M15" s="434">
        <f>M13-(100*'b-3d'!M10/'b-6d'!M8)</f>
        <v>4.4869751035481373</v>
      </c>
      <c r="N15" s="434">
        <f>N13-(100*'b-3d'!N10/'b-6d'!N8)</f>
        <v>5.764387663432494</v>
      </c>
      <c r="O15" s="434">
        <f>O13-(100*'b-3d'!O10/'b-6d'!O8)</f>
        <v>7.1914020707581283</v>
      </c>
      <c r="P15" s="434">
        <f>P13-(100*'b-3d'!P10/'b-6d'!P8)</f>
        <v>8.4179520545334761</v>
      </c>
      <c r="Q15" s="434">
        <f>Q13-(100*'b-3d'!Q10/'b-6d'!Q8)</f>
        <v>9.4578594095178552</v>
      </c>
    </row>
    <row r="16" spans="1:17" ht="36">
      <c r="B16" s="445" t="s">
        <v>705</v>
      </c>
      <c r="C16" s="200" t="s">
        <v>704</v>
      </c>
      <c r="D16" s="440">
        <f t="shared" ref="D16:Q16" si="2">D13-D15</f>
        <v>0.86798272671190624</v>
      </c>
      <c r="E16" s="440">
        <f t="shared" si="2"/>
        <v>1.4196955576265919</v>
      </c>
      <c r="F16" s="440">
        <f t="shared" si="2"/>
        <v>1.6362530413625302</v>
      </c>
      <c r="G16" s="440">
        <f t="shared" si="2"/>
        <v>1.5408695652173918</v>
      </c>
      <c r="H16" s="440">
        <f t="shared" si="2"/>
        <v>1.5093273035613342</v>
      </c>
      <c r="I16" s="440">
        <f t="shared" si="2"/>
        <v>1.2273393957172196</v>
      </c>
      <c r="J16" s="440">
        <f t="shared" si="2"/>
        <v>0.95475409836065595</v>
      </c>
      <c r="K16" s="440">
        <f t="shared" si="2"/>
        <v>0.86595492289442477</v>
      </c>
      <c r="L16" s="440">
        <f t="shared" si="2"/>
        <v>1.179508538109121</v>
      </c>
      <c r="M16" s="440">
        <f t="shared" si="2"/>
        <v>2.3619582664526488</v>
      </c>
      <c r="N16" s="440">
        <f t="shared" si="2"/>
        <v>3.8904327113934105</v>
      </c>
      <c r="O16" s="440">
        <f t="shared" si="2"/>
        <v>4.2436149312377207</v>
      </c>
      <c r="P16" s="440">
        <f t="shared" si="2"/>
        <v>4.6995377503852076</v>
      </c>
      <c r="Q16" s="440">
        <f t="shared" si="2"/>
        <v>5.9220389805097469</v>
      </c>
    </row>
    <row r="17" spans="1:17" ht="25.5" customHeight="1">
      <c r="A17" s="404" t="s">
        <v>703</v>
      </c>
      <c r="B17" s="404" t="s">
        <v>702</v>
      </c>
      <c r="C17" s="200" t="s">
        <v>701</v>
      </c>
      <c r="D17" s="440">
        <f>100*'b-3d'!D12/(0.5*('b-6d'!D8+'b-6d'!D9))</f>
        <v>3.7728643216080404</v>
      </c>
      <c r="E17" s="440">
        <f>100*'b-3d'!E12/(0.5*('b-6d'!E8+'b-6d'!E9))</f>
        <v>4.0068154711194408</v>
      </c>
      <c r="F17" s="440">
        <f>100*'b-3d'!F12/(0.5*('b-6d'!F8+'b-6d'!F9))</f>
        <v>4.3706222373342394</v>
      </c>
      <c r="G17" s="440">
        <f>100*'b-3d'!G12/(0.5*('b-6d'!G8+'b-6d'!G9))</f>
        <v>4.3364606923325786</v>
      </c>
      <c r="H17" s="440">
        <f>100*'b-3d'!H12/(0.5*('b-6d'!H8+'b-6d'!H9))</f>
        <v>4.4050793650793647</v>
      </c>
      <c r="I17" s="440">
        <f>100*'b-3d'!I12/(0.5*('b-6d'!I8+'b-6d'!I9))</f>
        <v>4.4674565817237468</v>
      </c>
      <c r="J17" s="440">
        <f>100*'b-3d'!J12/(0.5*('b-6d'!J8+'b-6d'!J9))</f>
        <v>4.4888888888888889</v>
      </c>
      <c r="K17" s="440">
        <f>100*'b-3d'!K12/(0.5*('b-6d'!K8+'b-6d'!K9))</f>
        <v>4.7518858307849134</v>
      </c>
      <c r="L17" s="440">
        <f>100*'b-3d'!L12/(0.5*('b-6d'!L8+'b-6d'!L9))</f>
        <v>4.9559105431309911</v>
      </c>
      <c r="M17" s="440">
        <f>100*'b-3d'!M12/(0.5*('b-6d'!M8+'b-6d'!M9))</f>
        <v>4.8769874476987454</v>
      </c>
      <c r="N17" s="440">
        <f>100*'b-3d'!N12/(0.5*('b-6d'!N8+'b-6d'!N9))</f>
        <v>5.3411224702691422</v>
      </c>
      <c r="O17" s="440">
        <f>100*'b-3d'!O12/(0.5*('b-6d'!O8+'b-6d'!O9))</f>
        <v>5.819995842860112</v>
      </c>
      <c r="P17" s="440">
        <f>100*'b-3d'!P12/(0.5*('b-6d'!P8+'b-6d'!P9))</f>
        <v>6.0905349794238681</v>
      </c>
      <c r="Q17" s="440">
        <f>100*'b-3d'!Q12/(0.5*('b-6d'!Q8+'b-6d'!Q9))</f>
        <v>6.3260340632603418</v>
      </c>
    </row>
    <row r="18" spans="1:17" ht="3.5" customHeight="1" thickBot="1">
      <c r="A18" s="235"/>
      <c r="B18" s="53"/>
      <c r="C18" s="53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</row>
    <row r="19" spans="1:17" ht="13" thickTop="1">
      <c r="B19" s="52"/>
      <c r="C19" s="42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>
      <c r="B22" s="79"/>
      <c r="C22" s="79"/>
      <c r="D22" s="48"/>
      <c r="E22" s="48"/>
      <c r="F22" s="48"/>
      <c r="G22" s="48"/>
      <c r="H22" s="48"/>
      <c r="I22" s="443"/>
      <c r="K22" s="48"/>
      <c r="L22" s="228"/>
      <c r="M22" s="48"/>
      <c r="N22" s="48"/>
      <c r="O22" s="48"/>
      <c r="P22" s="48"/>
      <c r="Q22" s="48"/>
    </row>
    <row r="23" spans="1:17">
      <c r="B23" s="79"/>
      <c r="C23" s="79"/>
      <c r="D23" s="48"/>
      <c r="E23" s="48"/>
      <c r="F23" s="48"/>
      <c r="G23" s="48"/>
      <c r="H23" s="48"/>
      <c r="I23" s="443"/>
      <c r="K23" s="48"/>
      <c r="L23" s="228"/>
      <c r="M23" s="48"/>
      <c r="N23" s="48"/>
      <c r="O23" s="48"/>
      <c r="P23" s="48"/>
      <c r="Q23" s="48"/>
    </row>
    <row r="24" spans="1:17">
      <c r="B24" s="79"/>
      <c r="C24" s="79"/>
      <c r="D24" s="48"/>
      <c r="E24" s="48"/>
      <c r="F24" s="48"/>
      <c r="G24" s="48"/>
      <c r="H24" s="48"/>
      <c r="I24" s="443"/>
      <c r="K24" s="48"/>
      <c r="L24" s="79"/>
      <c r="M24" s="48"/>
      <c r="N24" s="48"/>
      <c r="O24" s="48"/>
      <c r="P24" s="48"/>
      <c r="Q24" s="48"/>
    </row>
    <row r="25" spans="1:17">
      <c r="B25" s="79"/>
      <c r="C25" s="79"/>
      <c r="D25" s="48"/>
      <c r="E25" s="48"/>
      <c r="F25" s="48"/>
      <c r="G25" s="48"/>
      <c r="H25" s="48"/>
      <c r="I25" s="443"/>
      <c r="K25" s="48"/>
      <c r="L25" s="228"/>
      <c r="M25" s="48"/>
      <c r="N25" s="48"/>
      <c r="O25" s="48"/>
      <c r="P25" s="48"/>
      <c r="Q25" s="48"/>
    </row>
    <row r="26" spans="1:17">
      <c r="B26" s="79"/>
      <c r="C26" s="228"/>
      <c r="D26" s="48"/>
      <c r="E26" s="48"/>
      <c r="F26" s="48"/>
      <c r="G26" s="48"/>
      <c r="H26" s="48"/>
      <c r="I26" s="443"/>
      <c r="K26" s="48"/>
      <c r="L26" s="228"/>
      <c r="M26" s="48"/>
      <c r="N26" s="48"/>
      <c r="O26" s="48"/>
      <c r="P26" s="48"/>
      <c r="Q26" s="48"/>
    </row>
    <row r="27" spans="1:17">
      <c r="B27" s="79"/>
      <c r="C27" s="228"/>
      <c r="D27" s="48"/>
      <c r="E27" s="48"/>
      <c r="F27" s="48"/>
      <c r="G27" s="48"/>
      <c r="H27" s="48"/>
      <c r="J27" s="48"/>
      <c r="K27" s="48"/>
      <c r="M27" s="48"/>
      <c r="N27" s="48"/>
      <c r="O27" s="48"/>
      <c r="P27" s="48"/>
      <c r="Q27" s="48"/>
    </row>
    <row r="28" spans="1:17">
      <c r="B28" s="79"/>
      <c r="C28" s="22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</row>
    <row r="29" spans="1:17">
      <c r="B29" s="79"/>
      <c r="C29" s="79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</row>
    <row r="30" spans="1:17">
      <c r="B30" s="79"/>
      <c r="C30" s="22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</row>
    <row r="31" spans="1:17">
      <c r="B31" s="79"/>
      <c r="C31" s="22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</row>
    <row r="32" spans="1:17" ht="13"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10"/>
    </row>
    <row r="33" spans="2:17" ht="13">
      <c r="B33" s="410"/>
      <c r="C33" s="410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</row>
    <row r="34" spans="2:17" ht="13"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</row>
    <row r="35" spans="2:17" ht="13"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</row>
    <row r="36" spans="2:17" ht="13"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0"/>
    </row>
    <row r="37" spans="2:17" ht="13">
      <c r="B37" s="410"/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</row>
    <row r="38" spans="2:17" ht="13"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</row>
    <row r="39" spans="2:17" ht="13"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0"/>
      <c r="P39" s="410"/>
      <c r="Q39" s="410"/>
    </row>
    <row r="40" spans="2:17" ht="13">
      <c r="B40" s="410"/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</row>
    <row r="41" spans="2:17" ht="13"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</row>
    <row r="42" spans="2:17" ht="13"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</row>
    <row r="43" spans="2:17" ht="13"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</row>
    <row r="44" spans="2:17" ht="13"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</row>
    <row r="45" spans="2:17" ht="13"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</row>
    <row r="46" spans="2:17" ht="13"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</row>
    <row r="47" spans="2:17" ht="13">
      <c r="B47" s="410"/>
      <c r="C47" s="410"/>
      <c r="D47" s="410"/>
      <c r="E47" s="410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</row>
  </sheetData>
  <sheetProtection sheet="1" objects="1" scenarios="1"/>
  <printOptions verticalCentered="1"/>
  <pageMargins left="0.78740157480314965" right="0.78740157480314965" top="0.27559055118110237" bottom="0.27559055118110237" header="0.15748031496062992" footer="0.19685039370078741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66"/>
  <sheetViews>
    <sheetView zoomScale="150" zoomScaleNormal="150" zoomScalePageLayoutView="150" workbookViewId="0">
      <selection activeCell="E13" sqref="E13"/>
    </sheetView>
  </sheetViews>
  <sheetFormatPr baseColWidth="10" defaultRowHeight="12" x14ac:dyDescent="0"/>
  <cols>
    <col min="1" max="1" width="2.83203125" style="2" customWidth="1"/>
    <col min="2" max="2" width="18.1640625" style="2" customWidth="1"/>
    <col min="3" max="3" width="3.33203125" style="2" customWidth="1"/>
    <col min="4" max="4" width="7.5" style="2" customWidth="1"/>
    <col min="5" max="7" width="5.6640625" style="2" bestFit="1" customWidth="1"/>
    <col min="8" max="14" width="6.33203125" style="2" bestFit="1" customWidth="1"/>
    <col min="15" max="18" width="6.5" style="2" bestFit="1" customWidth="1"/>
    <col min="19" max="19" width="6.5" style="2" customWidth="1"/>
    <col min="20" max="20" width="5.5" style="2" customWidth="1"/>
    <col min="21" max="16384" width="10.83203125" style="2"/>
  </cols>
  <sheetData>
    <row r="3" spans="1:20">
      <c r="T3" s="3"/>
    </row>
    <row r="7" spans="1:20">
      <c r="A7" s="41" t="s">
        <v>53</v>
      </c>
      <c r="D7" s="4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20">
      <c r="B8" s="41"/>
      <c r="D8" s="4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0">
      <c r="A9" s="41" t="s">
        <v>52</v>
      </c>
      <c r="D9" s="4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0" ht="13" thickBot="1">
      <c r="A10" s="39"/>
      <c r="B10" s="39"/>
      <c r="C10" s="15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6"/>
    </row>
    <row r="11" spans="1:20" ht="14" thickTop="1" thickBot="1">
      <c r="A11" s="35"/>
      <c r="B11" s="35"/>
      <c r="C11" s="34"/>
      <c r="D11" s="33"/>
      <c r="E11" s="32">
        <v>1925</v>
      </c>
      <c r="F11" s="32" t="s">
        <v>51</v>
      </c>
      <c r="G11" s="32" t="s">
        <v>50</v>
      </c>
      <c r="H11" s="32" t="s">
        <v>49</v>
      </c>
      <c r="I11" s="32" t="s">
        <v>48</v>
      </c>
      <c r="J11" s="32" t="s">
        <v>47</v>
      </c>
      <c r="K11" s="32" t="s">
        <v>46</v>
      </c>
      <c r="L11" s="32" t="s">
        <v>45</v>
      </c>
      <c r="M11" s="32" t="s">
        <v>44</v>
      </c>
      <c r="N11" s="32" t="s">
        <v>43</v>
      </c>
      <c r="O11" s="32" t="s">
        <v>42</v>
      </c>
      <c r="P11" s="32" t="s">
        <v>41</v>
      </c>
      <c r="Q11" s="32" t="s">
        <v>40</v>
      </c>
      <c r="R11" s="32" t="s">
        <v>39</v>
      </c>
      <c r="S11" s="31"/>
    </row>
    <row r="12" spans="1:20" ht="13" thickTop="1">
      <c r="B12" s="30"/>
      <c r="C12" s="29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1:20">
      <c r="A13" s="23" t="s">
        <v>38</v>
      </c>
      <c r="B13" s="23" t="s">
        <v>37</v>
      </c>
      <c r="C13" s="7"/>
      <c r="D13" s="20" t="s">
        <v>36</v>
      </c>
      <c r="E13" s="10">
        <v>5321</v>
      </c>
      <c r="F13" s="10">
        <v>6561.4</v>
      </c>
      <c r="G13" s="10">
        <v>7153.9</v>
      </c>
      <c r="H13" s="10">
        <v>8375.1</v>
      </c>
      <c r="I13" s="10">
        <v>8041.9</v>
      </c>
      <c r="J13" s="10">
        <v>8626.2999999999993</v>
      </c>
      <c r="K13" s="10">
        <v>7042.9</v>
      </c>
      <c r="L13" s="10">
        <v>6155.1</v>
      </c>
      <c r="M13" s="10">
        <v>6089.2</v>
      </c>
      <c r="N13" s="10">
        <v>7992.1</v>
      </c>
      <c r="O13" s="10">
        <v>10004.9</v>
      </c>
      <c r="P13" s="10">
        <v>13096.3</v>
      </c>
      <c r="Q13" s="10">
        <v>17146.3</v>
      </c>
      <c r="R13" s="10">
        <v>28593.7</v>
      </c>
      <c r="S13" s="10"/>
      <c r="T13" s="26"/>
    </row>
    <row r="14" spans="1:20" ht="20">
      <c r="B14" s="22" t="s">
        <v>35</v>
      </c>
      <c r="C14" s="7"/>
      <c r="D14" s="20" t="s">
        <v>34</v>
      </c>
      <c r="E14" s="10">
        <v>4731.3999999999996</v>
      </c>
      <c r="F14" s="10">
        <v>5312.4</v>
      </c>
      <c r="G14" s="10">
        <v>6356.8</v>
      </c>
      <c r="H14" s="10">
        <v>6568.3</v>
      </c>
      <c r="I14" s="10">
        <v>6740.7</v>
      </c>
      <c r="J14" s="10">
        <v>6634</v>
      </c>
      <c r="K14" s="10">
        <v>5703.6</v>
      </c>
      <c r="L14" s="10">
        <v>4993.5</v>
      </c>
      <c r="M14" s="10">
        <v>5025.8999999999996</v>
      </c>
      <c r="N14" s="10">
        <v>5461.4</v>
      </c>
      <c r="O14" s="10">
        <v>7071.9</v>
      </c>
      <c r="P14" s="10">
        <v>8681.5</v>
      </c>
      <c r="Q14" s="10">
        <v>11276.6</v>
      </c>
      <c r="R14" s="10">
        <v>15416.1</v>
      </c>
      <c r="S14" s="10"/>
      <c r="T14" s="26"/>
    </row>
    <row r="15" spans="1:20">
      <c r="B15" s="5" t="s">
        <v>33</v>
      </c>
      <c r="C15" s="7"/>
      <c r="D15" s="20" t="s">
        <v>32</v>
      </c>
      <c r="E15" s="10">
        <v>-166.6</v>
      </c>
      <c r="F15" s="10">
        <v>158.19999999999999</v>
      </c>
      <c r="G15" s="10">
        <v>175.2</v>
      </c>
      <c r="H15" s="10">
        <v>270.39999999999998</v>
      </c>
      <c r="I15" s="10">
        <v>307</v>
      </c>
      <c r="J15" s="10">
        <v>612.70000000000005</v>
      </c>
      <c r="K15" s="10">
        <v>223</v>
      </c>
      <c r="L15" s="10">
        <v>316.89999999999998</v>
      </c>
      <c r="M15" s="10">
        <v>431.4</v>
      </c>
      <c r="N15" s="10">
        <v>664.8</v>
      </c>
      <c r="O15" s="10">
        <v>158.80000000000001</v>
      </c>
      <c r="P15" s="10">
        <v>278.39999999999998</v>
      </c>
      <c r="Q15" s="10">
        <v>786.6</v>
      </c>
      <c r="R15" s="10">
        <v>182.6</v>
      </c>
      <c r="S15" s="10"/>
      <c r="T15" s="26"/>
    </row>
    <row r="16" spans="1:20">
      <c r="B16" s="5" t="s">
        <v>31</v>
      </c>
      <c r="C16" s="7"/>
      <c r="D16" s="20" t="s">
        <v>30</v>
      </c>
      <c r="E16" s="10">
        <v>175.4</v>
      </c>
      <c r="F16" s="10">
        <v>176.1</v>
      </c>
      <c r="G16" s="10">
        <v>185.1</v>
      </c>
      <c r="H16" s="10">
        <v>178.5</v>
      </c>
      <c r="I16" s="10">
        <v>253.7</v>
      </c>
      <c r="J16" s="10">
        <v>282.3</v>
      </c>
      <c r="K16" s="10">
        <v>161.80000000000001</v>
      </c>
      <c r="L16" s="10">
        <v>175.9</v>
      </c>
      <c r="M16" s="10">
        <v>282.8</v>
      </c>
      <c r="N16" s="544">
        <v>400.1</v>
      </c>
      <c r="O16" s="543">
        <v>710.6</v>
      </c>
      <c r="P16" s="543" t="s">
        <v>29</v>
      </c>
      <c r="Q16" s="543">
        <v>1191.3</v>
      </c>
      <c r="R16" s="543">
        <v>2429.1999999999998</v>
      </c>
      <c r="S16" s="25"/>
    </row>
    <row r="17" spans="1:256">
      <c r="B17" s="5" t="s">
        <v>28</v>
      </c>
      <c r="C17" s="7"/>
      <c r="D17" s="20" t="s">
        <v>27</v>
      </c>
      <c r="E17" s="10">
        <v>131</v>
      </c>
      <c r="F17" s="10">
        <v>61.6</v>
      </c>
      <c r="G17" s="10">
        <v>83.5</v>
      </c>
      <c r="H17" s="10">
        <v>120.8</v>
      </c>
      <c r="I17" s="10">
        <v>65</v>
      </c>
      <c r="J17" s="10">
        <v>26</v>
      </c>
      <c r="K17" s="10">
        <v>353.9</v>
      </c>
      <c r="L17" s="10">
        <v>105.6</v>
      </c>
      <c r="M17" s="10">
        <v>-8</v>
      </c>
      <c r="N17" s="545"/>
      <c r="O17" s="543"/>
      <c r="P17" s="543"/>
      <c r="Q17" s="543"/>
      <c r="R17" s="543"/>
      <c r="S17" s="25"/>
    </row>
    <row r="18" spans="1:256" ht="30">
      <c r="A18" s="24" t="s">
        <v>26</v>
      </c>
      <c r="B18" s="22" t="s">
        <v>25</v>
      </c>
      <c r="C18" s="12"/>
      <c r="D18" s="20" t="s">
        <v>24</v>
      </c>
      <c r="E18" s="10">
        <f t="shared" ref="E18:R18" si="0">E14+E15+E16+E17</f>
        <v>4871.1999999999989</v>
      </c>
      <c r="F18" s="10">
        <f t="shared" si="0"/>
        <v>5708.3</v>
      </c>
      <c r="G18" s="10">
        <f t="shared" si="0"/>
        <v>6800.6</v>
      </c>
      <c r="H18" s="10">
        <f t="shared" si="0"/>
        <v>7138</v>
      </c>
      <c r="I18" s="10">
        <f t="shared" si="0"/>
        <v>7366.4</v>
      </c>
      <c r="J18" s="10">
        <f t="shared" si="0"/>
        <v>7555</v>
      </c>
      <c r="K18" s="10">
        <f t="shared" si="0"/>
        <v>6442.3</v>
      </c>
      <c r="L18" s="10">
        <f t="shared" si="0"/>
        <v>5591.9</v>
      </c>
      <c r="M18" s="10">
        <f t="shared" si="0"/>
        <v>5732.0999999999995</v>
      </c>
      <c r="N18" s="10">
        <f t="shared" si="0"/>
        <v>6526.3</v>
      </c>
      <c r="O18" s="10">
        <f t="shared" si="0"/>
        <v>7941.3</v>
      </c>
      <c r="P18" s="10">
        <f t="shared" si="0"/>
        <v>10296.9</v>
      </c>
      <c r="Q18" s="10">
        <f t="shared" si="0"/>
        <v>13254.5</v>
      </c>
      <c r="R18" s="10">
        <f t="shared" si="0"/>
        <v>18027.900000000001</v>
      </c>
      <c r="S18" s="10"/>
    </row>
    <row r="19" spans="1:256">
      <c r="A19" s="23" t="s">
        <v>23</v>
      </c>
      <c r="B19" s="23" t="s">
        <v>22</v>
      </c>
      <c r="C19" s="7"/>
      <c r="D19" s="20" t="s">
        <v>21</v>
      </c>
      <c r="E19" s="10">
        <v>340.4</v>
      </c>
      <c r="F19" s="10">
        <v>329.4</v>
      </c>
      <c r="G19" s="10">
        <v>123.1</v>
      </c>
      <c r="H19" s="10">
        <v>100.5</v>
      </c>
      <c r="I19" s="10">
        <v>364</v>
      </c>
      <c r="J19" s="10">
        <v>487.1</v>
      </c>
      <c r="K19" s="10">
        <v>0</v>
      </c>
      <c r="L19" s="10">
        <v>0</v>
      </c>
      <c r="M19" s="10">
        <v>92.1</v>
      </c>
      <c r="N19" s="10">
        <v>1039.5999999999999</v>
      </c>
      <c r="O19" s="10">
        <v>2065.6999999999998</v>
      </c>
      <c r="P19" s="10">
        <v>3003.8</v>
      </c>
      <c r="Q19" s="10">
        <v>3959.9</v>
      </c>
      <c r="R19" s="10">
        <v>7534.3</v>
      </c>
      <c r="S19" s="10"/>
    </row>
    <row r="20" spans="1:256">
      <c r="A20" s="23" t="s">
        <v>20</v>
      </c>
      <c r="B20" s="23" t="s">
        <v>19</v>
      </c>
      <c r="C20" s="7"/>
      <c r="D20" s="20" t="s">
        <v>18</v>
      </c>
      <c r="E20" s="10">
        <f t="shared" ref="E20:R20" si="1">-(E13-E14-E15-E16-E17-E19)</f>
        <v>-109.40000000000043</v>
      </c>
      <c r="F20" s="10">
        <f t="shared" si="1"/>
        <v>-523.69999999999993</v>
      </c>
      <c r="G20" s="10">
        <f t="shared" si="1"/>
        <v>-230.19999999999939</v>
      </c>
      <c r="H20" s="10">
        <f t="shared" si="1"/>
        <v>-1136.6000000000001</v>
      </c>
      <c r="I20" s="10">
        <f t="shared" si="1"/>
        <v>-311.49999999999977</v>
      </c>
      <c r="J20" s="10">
        <f t="shared" si="1"/>
        <v>-584.19999999999925</v>
      </c>
      <c r="K20" s="10">
        <f t="shared" si="1"/>
        <v>-600.59999999999934</v>
      </c>
      <c r="L20" s="10">
        <f t="shared" si="1"/>
        <v>-563.20000000000039</v>
      </c>
      <c r="M20" s="10">
        <f t="shared" si="1"/>
        <v>-265.00000000000023</v>
      </c>
      <c r="N20" s="10">
        <f t="shared" si="1"/>
        <v>-426.20000000000073</v>
      </c>
      <c r="O20" s="10">
        <f t="shared" si="1"/>
        <v>2.0999999999999091</v>
      </c>
      <c r="P20" s="10">
        <f t="shared" si="1"/>
        <v>204.40000000000055</v>
      </c>
      <c r="Q20" s="10">
        <f t="shared" si="1"/>
        <v>68.100000000001728</v>
      </c>
      <c r="R20" s="10">
        <f t="shared" si="1"/>
        <v>-3031.4999999999991</v>
      </c>
      <c r="S20" s="10"/>
    </row>
    <row r="21" spans="1:256" ht="30">
      <c r="B21" s="22" t="s">
        <v>17</v>
      </c>
      <c r="C21" s="7"/>
      <c r="D21" s="20" t="s">
        <v>16</v>
      </c>
      <c r="E21" s="10">
        <v>-110</v>
      </c>
      <c r="F21" s="10">
        <v>-524</v>
      </c>
      <c r="G21" s="10">
        <v>-232</v>
      </c>
      <c r="H21" s="10">
        <v>-1136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56">
      <c r="B22" s="21" t="s">
        <v>15</v>
      </c>
      <c r="C22" s="7"/>
      <c r="D22" s="20" t="s">
        <v>14</v>
      </c>
      <c r="E22" s="10">
        <v>-109.8</v>
      </c>
      <c r="F22" s="10">
        <v>-524.20000000000005</v>
      </c>
      <c r="G22" s="10">
        <v>-41.1</v>
      </c>
      <c r="H22" s="10">
        <v>-1075.4000000000001</v>
      </c>
      <c r="I22" s="10">
        <v>-312.8</v>
      </c>
      <c r="J22" s="10">
        <v>-120.5</v>
      </c>
      <c r="K22" s="10">
        <v>-182.5</v>
      </c>
      <c r="L22" s="10">
        <v>-143.19999999999999</v>
      </c>
      <c r="M22" s="10">
        <v>-245.8</v>
      </c>
      <c r="N22" s="10">
        <v>-425.8</v>
      </c>
      <c r="O22" s="10">
        <v>2.1</v>
      </c>
      <c r="P22" s="10">
        <v>204.4</v>
      </c>
      <c r="Q22" s="10">
        <v>68.099999999999994</v>
      </c>
      <c r="R22" s="10">
        <v>-3031.5</v>
      </c>
      <c r="S22" s="10"/>
    </row>
    <row r="23" spans="1:256">
      <c r="B23" s="19" t="s">
        <v>11</v>
      </c>
      <c r="C23" s="18" t="s">
        <v>13</v>
      </c>
      <c r="D23" s="20" t="s">
        <v>12</v>
      </c>
      <c r="E23" s="10">
        <v>180.1</v>
      </c>
      <c r="F23" s="10">
        <v>199.4</v>
      </c>
      <c r="G23" s="10">
        <v>162</v>
      </c>
      <c r="H23" s="10">
        <v>-1058.9000000000001</v>
      </c>
      <c r="I23" s="10">
        <v>-1236.8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56">
      <c r="B24" s="19" t="s">
        <v>11</v>
      </c>
      <c r="C24" s="18" t="s">
        <v>10</v>
      </c>
      <c r="D24" s="17" t="s">
        <v>9</v>
      </c>
      <c r="E24" s="10"/>
      <c r="F24" s="10"/>
      <c r="G24" s="10">
        <v>-561.6</v>
      </c>
      <c r="H24" s="10">
        <v>-1132.3</v>
      </c>
      <c r="I24" s="10">
        <v>-1283.7</v>
      </c>
      <c r="J24" s="10">
        <v>-1524.9</v>
      </c>
      <c r="K24" s="10">
        <v>-1690</v>
      </c>
      <c r="L24" s="10">
        <v>-1880</v>
      </c>
      <c r="M24" s="10">
        <v>-2110</v>
      </c>
      <c r="N24" s="10">
        <v>-2464</v>
      </c>
      <c r="O24" s="10">
        <v>-2990</v>
      </c>
      <c r="P24" s="10">
        <v>-3000</v>
      </c>
      <c r="Q24" s="10">
        <v>-3560</v>
      </c>
      <c r="R24" s="10">
        <v>-5640</v>
      </c>
      <c r="S24" s="10"/>
    </row>
    <row r="25" spans="1:25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256" ht="13" thickBot="1">
      <c r="A26" s="16"/>
      <c r="B26" s="16"/>
      <c r="C26" s="15"/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0"/>
    </row>
    <row r="27" spans="1:256" ht="13" thickTop="1">
      <c r="B27" s="5"/>
      <c r="C27" s="12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56">
      <c r="B28" s="5"/>
      <c r="C28" s="12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256">
      <c r="S29" s="6"/>
    </row>
    <row r="30" spans="1:256">
      <c r="S30" s="6"/>
    </row>
    <row r="31" spans="1:256">
      <c r="S31" s="9"/>
      <c r="T31" s="9"/>
    </row>
    <row r="32" spans="1:256" s="7" customForma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2:256" s="7" customForma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</row>
    <row r="34" spans="2:256" s="7" customForma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</row>
    <row r="35" spans="2:256" s="7" customForma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/>
      <c r="T35" s="9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</row>
    <row r="36" spans="2:256">
      <c r="S36" s="9"/>
      <c r="T36" s="9"/>
    </row>
    <row r="37" spans="2:256">
      <c r="S37" s="9"/>
    </row>
    <row r="38" spans="2:256">
      <c r="S38" s="6"/>
    </row>
    <row r="39" spans="2:256">
      <c r="S39" s="6"/>
    </row>
    <row r="40" spans="2:256">
      <c r="S40" s="6"/>
    </row>
    <row r="41" spans="2:256">
      <c r="S41" s="6"/>
    </row>
    <row r="42" spans="2:256">
      <c r="S42" s="6"/>
    </row>
    <row r="43" spans="2:256">
      <c r="S43" s="6"/>
    </row>
    <row r="44" spans="2:256">
      <c r="S44" s="6"/>
    </row>
    <row r="45" spans="2:256">
      <c r="S45" s="6"/>
    </row>
    <row r="46" spans="2:256">
      <c r="S46" s="6"/>
    </row>
    <row r="47" spans="2:256">
      <c r="S47" s="6"/>
    </row>
    <row r="48" spans="2:256">
      <c r="S48" s="6"/>
    </row>
    <row r="49" spans="2:256">
      <c r="S49" s="6"/>
    </row>
    <row r="50" spans="2:256">
      <c r="S50" s="6"/>
    </row>
    <row r="51" spans="2:256">
      <c r="S51" s="6"/>
    </row>
    <row r="52" spans="2:256">
      <c r="S52" s="6"/>
    </row>
    <row r="53" spans="2:256">
      <c r="S53" s="6"/>
    </row>
    <row r="54" spans="2:256">
      <c r="S54" s="6"/>
    </row>
    <row r="55" spans="2:256">
      <c r="S55" s="6"/>
    </row>
    <row r="56" spans="2:256">
      <c r="S56" s="6"/>
    </row>
    <row r="57" spans="2:256">
      <c r="S57" s="6"/>
    </row>
    <row r="58" spans="2:256">
      <c r="S58" s="6"/>
    </row>
    <row r="59" spans="2:256">
      <c r="S59" s="6"/>
    </row>
    <row r="60" spans="2:256">
      <c r="S60" s="6"/>
    </row>
    <row r="61" spans="2:256" s="7" customForma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6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</row>
    <row r="62" spans="2:256">
      <c r="S62" s="6"/>
    </row>
    <row r="63" spans="2:256">
      <c r="S63" s="6"/>
    </row>
    <row r="64" spans="2:256">
      <c r="S64" s="6"/>
    </row>
    <row r="65" spans="2:20" ht="19.5" customHeight="1">
      <c r="B65" s="5"/>
      <c r="C65" s="4"/>
    </row>
    <row r="66" spans="2:20">
      <c r="T66" s="3"/>
    </row>
  </sheetData>
  <sheetProtection sheet="1" objects="1" scenarios="1"/>
  <mergeCells count="5">
    <mergeCell ref="R16:R17"/>
    <mergeCell ref="N16:N17"/>
    <mergeCell ref="O16:O17"/>
    <mergeCell ref="P16:P17"/>
    <mergeCell ref="Q16:Q17"/>
  </mergeCells>
  <printOptions horizontalCentered="1"/>
  <pageMargins left="0.78740157480314965" right="0" top="0" bottom="0" header="0" footer="0"/>
  <pageSetup paperSize="9" orientation="landscape" horizontalDpi="1200" verticalDpi="1200"/>
  <rowBreaks count="1" manualBreakCount="1">
    <brk id="2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workbookViewId="0">
      <selection activeCell="K51" sqref="K51"/>
    </sheetView>
  </sheetViews>
  <sheetFormatPr baseColWidth="10" defaultRowHeight="12" x14ac:dyDescent="0"/>
  <cols>
    <col min="1" max="1" width="18.33203125" style="2" customWidth="1"/>
    <col min="2" max="2" width="7.1640625" style="2" customWidth="1"/>
    <col min="3" max="3" width="8" style="2" customWidth="1"/>
    <col min="4" max="16" width="7.5" style="2" customWidth="1"/>
    <col min="17" max="16384" width="10.83203125" style="2"/>
  </cols>
  <sheetData>
    <row r="1" spans="1:17">
      <c r="A1" s="102" t="s">
        <v>739</v>
      </c>
      <c r="C1" s="102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7">
      <c r="A2" s="102"/>
      <c r="B2" s="74"/>
      <c r="C2" s="102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</row>
    <row r="3" spans="1:17">
      <c r="A3" s="64" t="s">
        <v>738</v>
      </c>
      <c r="B3" s="64"/>
      <c r="C3" s="102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</row>
    <row r="4" spans="1:17" ht="13" thickBot="1">
      <c r="A4" s="64"/>
      <c r="B4" s="64"/>
      <c r="C4" s="102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</row>
    <row r="5" spans="1:17" s="115" customFormat="1" ht="18.75" customHeight="1" thickTop="1" thickBot="1">
      <c r="A5" s="391"/>
      <c r="B5" s="391"/>
      <c r="C5" s="391">
        <v>1925</v>
      </c>
      <c r="D5" s="391">
        <v>1926</v>
      </c>
      <c r="E5" s="391">
        <v>1927</v>
      </c>
      <c r="F5" s="391">
        <v>1928</v>
      </c>
      <c r="G5" s="391">
        <v>1929</v>
      </c>
      <c r="H5" s="391">
        <v>1930</v>
      </c>
      <c r="I5" s="391">
        <v>1931</v>
      </c>
      <c r="J5" s="391">
        <v>1932</v>
      </c>
      <c r="K5" s="391">
        <v>1933</v>
      </c>
      <c r="L5" s="391">
        <v>1934</v>
      </c>
      <c r="M5" s="391">
        <v>1935</v>
      </c>
      <c r="N5" s="391">
        <v>1936</v>
      </c>
      <c r="O5" s="391">
        <v>1937</v>
      </c>
      <c r="P5" s="391">
        <v>1938</v>
      </c>
    </row>
    <row r="6" spans="1:17" ht="30" customHeight="1" thickTop="1">
      <c r="A6" s="404" t="s">
        <v>737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103"/>
    </row>
    <row r="7" spans="1:17">
      <c r="A7" s="52" t="s">
        <v>736</v>
      </c>
      <c r="B7" s="200" t="s">
        <v>735</v>
      </c>
      <c r="C7" s="200">
        <v>146.69999999999999</v>
      </c>
      <c r="D7" s="200">
        <v>145.69999999999999</v>
      </c>
      <c r="E7" s="200">
        <v>147.1</v>
      </c>
      <c r="F7" s="200">
        <v>147.4</v>
      </c>
      <c r="G7" s="200">
        <v>145.4</v>
      </c>
      <c r="H7" s="200">
        <v>136.9</v>
      </c>
      <c r="I7" s="200">
        <v>120.2</v>
      </c>
      <c r="J7" s="200">
        <v>104.2</v>
      </c>
      <c r="K7" s="200">
        <v>94.2</v>
      </c>
      <c r="L7" s="200">
        <v>90.2</v>
      </c>
      <c r="M7" s="200">
        <v>85.8</v>
      </c>
      <c r="N7" s="200">
        <v>86.9</v>
      </c>
      <c r="O7" s="200">
        <v>93.1</v>
      </c>
      <c r="P7" s="200">
        <v>97.6</v>
      </c>
      <c r="Q7" s="103"/>
    </row>
    <row r="8" spans="1:17">
      <c r="A8" s="52" t="s">
        <v>734</v>
      </c>
      <c r="B8" s="200" t="s">
        <v>733</v>
      </c>
      <c r="C8" s="200">
        <v>147</v>
      </c>
      <c r="D8" s="200">
        <v>133.9</v>
      </c>
      <c r="E8" s="200">
        <v>132.80000000000001</v>
      </c>
      <c r="F8" s="200">
        <v>135.6</v>
      </c>
      <c r="G8" s="200">
        <v>134.9</v>
      </c>
      <c r="H8" s="200">
        <v>117</v>
      </c>
      <c r="I8" s="200">
        <v>89.8</v>
      </c>
      <c r="J8" s="200">
        <v>66.8</v>
      </c>
      <c r="K8" s="200">
        <v>61.2</v>
      </c>
      <c r="L8" s="200">
        <v>61.5</v>
      </c>
      <c r="M8" s="200">
        <v>62.9</v>
      </c>
      <c r="N8" s="200">
        <v>66.400000000000006</v>
      </c>
      <c r="O8" s="200">
        <v>73.5</v>
      </c>
      <c r="P8" s="200">
        <v>68.5</v>
      </c>
      <c r="Q8" s="103"/>
    </row>
    <row r="9" spans="1:17" ht="24">
      <c r="A9" s="404" t="s">
        <v>732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103"/>
    </row>
    <row r="10" spans="1:17">
      <c r="A10" s="52" t="s">
        <v>731</v>
      </c>
      <c r="B10" s="200" t="s">
        <v>730</v>
      </c>
      <c r="C10" s="201">
        <f>100*'b-4d'!C23/'b-7d'!C7</f>
        <v>7445.1261077027957</v>
      </c>
      <c r="D10" s="201">
        <f>100*'b-4d'!D23/'b-7d'!D7</f>
        <v>8402.8826355525052</v>
      </c>
      <c r="E10" s="201">
        <f>100*'b-4d'!E23/'b-7d'!E7</f>
        <v>8834.126444595513</v>
      </c>
      <c r="F10" s="201">
        <f>100*'b-4d'!F23/'b-7d'!F7</f>
        <v>9934.8710990502022</v>
      </c>
      <c r="G10" s="201">
        <f>100*'b-4d'!G23/'b-7d'!G7</f>
        <v>11202.888583218706</v>
      </c>
      <c r="H10" s="201">
        <f>100*'b-4d'!H23/'b-7d'!H7</f>
        <v>10530.314097881665</v>
      </c>
      <c r="I10" s="201">
        <f>100*'b-4d'!I23/'b-7d'!I7</f>
        <v>9608.1530782029949</v>
      </c>
      <c r="J10" s="201">
        <f>100*'b-4d'!J23/'b-7d'!J7</f>
        <v>6906.9097888675624</v>
      </c>
      <c r="K10" s="201">
        <f>100*'b-4d'!K23/'b-7d'!K7</f>
        <v>6201.6985138004247</v>
      </c>
      <c r="L10" s="201">
        <f>100*'b-4d'!L23/'b-7d'!L7</f>
        <v>5821.5077605321503</v>
      </c>
      <c r="M10" s="201">
        <f>100*'b-4d'!M23/'b-7d'!M7</f>
        <v>6261.0722610722614</v>
      </c>
      <c r="N10" s="201">
        <f>100*'b-4d'!N23/'b-7d'!N7</f>
        <v>7543.1530494821627</v>
      </c>
      <c r="O10" s="201">
        <f>100*'b-4d'!O23/'b-7d'!O7</f>
        <v>8852.8464017185834</v>
      </c>
      <c r="P10" s="201">
        <f>100*'b-4d'!P23/'b-7d'!P7</f>
        <v>7984.6311475409839</v>
      </c>
      <c r="Q10" s="103"/>
    </row>
    <row r="11" spans="1:17">
      <c r="A11" s="52" t="s">
        <v>729</v>
      </c>
      <c r="B11" s="200" t="s">
        <v>728</v>
      </c>
      <c r="C11" s="201">
        <f>100*'b-4d'!C24/'b-7d'!C8</f>
        <v>8782.3129251700684</v>
      </c>
      <c r="D11" s="201">
        <f>100*'b-4d'!D24/'b-7d'!D8</f>
        <v>8283.0470500373413</v>
      </c>
      <c r="E11" s="201">
        <f>100*'b-4d'!E24/'b-7d'!E8</f>
        <v>11788.403614457829</v>
      </c>
      <c r="F11" s="201">
        <f>100*'b-4d'!F24/'b-7d'!F8</f>
        <v>11685.840707964602</v>
      </c>
      <c r="G11" s="201">
        <f>100*'b-4d'!G24/'b-7d'!G8</f>
        <v>12172.720533728687</v>
      </c>
      <c r="H11" s="201">
        <f>100*'b-4d'!H24/'b-7d'!H8</f>
        <v>11384.615384615385</v>
      </c>
      <c r="I11" s="201">
        <f>100*'b-4d'!I24/'b-7d'!I8</f>
        <v>10602.449888641426</v>
      </c>
      <c r="J11" s="201">
        <f>100*'b-4d'!J24/'b-7d'!J8</f>
        <v>10149.700598802396</v>
      </c>
      <c r="K11" s="201">
        <f>100*'b-4d'!K24/'b-7d'!K8</f>
        <v>9086.6013071895413</v>
      </c>
      <c r="L11" s="201">
        <f>100*'b-4d'!L24/'b-7d'!L8</f>
        <v>9406.5040650406499</v>
      </c>
      <c r="M11" s="201">
        <f>100*'b-4d'!M24/'b-7d'!M8</f>
        <v>8710.6518282988873</v>
      </c>
      <c r="N11" s="201">
        <f>100*'b-4d'!N24/'b-7d'!N8</f>
        <v>8945.7831325301195</v>
      </c>
      <c r="O11" s="201">
        <f>100*'b-4d'!O24/'b-7d'!O8</f>
        <v>10861.224489795919</v>
      </c>
      <c r="P11" s="201">
        <f>100*'b-4d'!P24/'b-7d'!P8</f>
        <v>12202.919708029198</v>
      </c>
      <c r="Q11" s="103"/>
    </row>
    <row r="12" spans="1:17">
      <c r="A12" s="52" t="s">
        <v>650</v>
      </c>
      <c r="B12" s="200" t="s">
        <v>727</v>
      </c>
      <c r="C12" s="201">
        <f t="shared" ref="C12:P12" si="0">C10-C11</f>
        <v>-1337.1868174672727</v>
      </c>
      <c r="D12" s="201">
        <f t="shared" si="0"/>
        <v>119.83558551516398</v>
      </c>
      <c r="E12" s="201">
        <f t="shared" si="0"/>
        <v>-2954.2771698623164</v>
      </c>
      <c r="F12" s="201">
        <f t="shared" si="0"/>
        <v>-1750.9696089143999</v>
      </c>
      <c r="G12" s="201">
        <f t="shared" si="0"/>
        <v>-969.83195050998074</v>
      </c>
      <c r="H12" s="201">
        <f t="shared" si="0"/>
        <v>-854.30128673372019</v>
      </c>
      <c r="I12" s="201">
        <f t="shared" si="0"/>
        <v>-994.29681043843084</v>
      </c>
      <c r="J12" s="201">
        <f t="shared" si="0"/>
        <v>-3242.7908099348333</v>
      </c>
      <c r="K12" s="201">
        <f t="shared" si="0"/>
        <v>-2884.9027933891166</v>
      </c>
      <c r="L12" s="201">
        <f t="shared" si="0"/>
        <v>-3584.9963045084996</v>
      </c>
      <c r="M12" s="201">
        <f t="shared" si="0"/>
        <v>-2449.5795672266258</v>
      </c>
      <c r="N12" s="201">
        <f t="shared" si="0"/>
        <v>-1402.6300830479568</v>
      </c>
      <c r="O12" s="201">
        <f t="shared" si="0"/>
        <v>-2008.3780880773356</v>
      </c>
      <c r="P12" s="201">
        <f t="shared" si="0"/>
        <v>-4218.288560488214</v>
      </c>
      <c r="Q12" s="103"/>
    </row>
    <row r="13" spans="1:17" s="51" customFormat="1" ht="6.5" customHeight="1" thickBot="1">
      <c r="A13" s="100"/>
      <c r="B13" s="53"/>
      <c r="C13" s="457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4"/>
    </row>
    <row r="14" spans="1:17" ht="13" thickTop="1">
      <c r="B14" s="85"/>
      <c r="C14" s="52"/>
      <c r="D14" s="52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3"/>
      <c r="P14" s="93"/>
      <c r="Q14" s="103"/>
    </row>
    <row r="15" spans="1:17">
      <c r="A15" s="93"/>
      <c r="B15" s="85"/>
      <c r="D15" s="52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3"/>
      <c r="P15" s="93"/>
      <c r="Q15" s="103"/>
    </row>
    <row r="16" spans="1:17"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103"/>
    </row>
    <row r="17" spans="1:18">
      <c r="A17" s="93"/>
      <c r="B17" s="50"/>
      <c r="C17" s="45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103"/>
    </row>
    <row r="18" spans="1:18">
      <c r="A18" s="93"/>
      <c r="B18" s="35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04"/>
    </row>
    <row r="19" spans="1:18">
      <c r="A19" s="93"/>
      <c r="B19" s="249"/>
      <c r="C19" s="93"/>
      <c r="D19" s="93"/>
      <c r="E19" s="93"/>
      <c r="F19" s="93"/>
      <c r="G19" s="93"/>
      <c r="H19" s="93"/>
      <c r="Q19" s="104"/>
    </row>
    <row r="20" spans="1:18" s="80" customFormat="1">
      <c r="A20" s="93"/>
      <c r="B20" s="249"/>
      <c r="C20" s="93"/>
      <c r="D20" s="450"/>
      <c r="E20" s="450"/>
      <c r="F20" s="450"/>
      <c r="G20" s="450"/>
      <c r="H20" s="450"/>
      <c r="Q20" s="456"/>
    </row>
    <row r="21" spans="1:18">
      <c r="D21" s="93"/>
      <c r="E21" s="93"/>
      <c r="F21" s="93"/>
      <c r="G21" s="93"/>
      <c r="H21" s="93"/>
      <c r="Q21" s="103"/>
    </row>
    <row r="22" spans="1:18">
      <c r="A22" s="93"/>
      <c r="B22" s="93"/>
      <c r="C22" s="93"/>
      <c r="D22" s="93"/>
      <c r="E22" s="93"/>
      <c r="F22" s="93"/>
      <c r="G22" s="93"/>
      <c r="H22" s="93"/>
      <c r="Q22" s="103"/>
      <c r="R22" s="455"/>
    </row>
    <row r="23" spans="1:18">
      <c r="A23" s="93"/>
      <c r="B23" s="93"/>
      <c r="C23" s="93"/>
      <c r="D23" s="93"/>
      <c r="E23" s="93"/>
      <c r="F23" s="93"/>
      <c r="G23" s="93"/>
      <c r="H23" s="93"/>
      <c r="Q23" s="103"/>
      <c r="R23" s="455"/>
    </row>
    <row r="24" spans="1:18">
      <c r="Q24" s="103"/>
    </row>
    <row r="25" spans="1:18">
      <c r="Q25" s="103"/>
    </row>
    <row r="26" spans="1:18">
      <c r="Q26" s="103"/>
    </row>
    <row r="27" spans="1:18">
      <c r="Q27" s="103"/>
    </row>
    <row r="28" spans="1:18">
      <c r="Q28" s="103"/>
    </row>
    <row r="29" spans="1:18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103"/>
    </row>
    <row r="30" spans="1:18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8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8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>
      <c r="A34" s="93"/>
      <c r="B34" s="85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103"/>
    </row>
    <row r="35" spans="1:17">
      <c r="A35" s="93"/>
      <c r="B35" s="85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103"/>
    </row>
    <row r="36" spans="1:17">
      <c r="A36" s="93"/>
      <c r="B36" s="85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</row>
    <row r="37" spans="1:17">
      <c r="A37" s="93"/>
      <c r="B37" s="85"/>
      <c r="C37" s="454"/>
      <c r="D37" s="454"/>
      <c r="E37" s="454"/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</row>
    <row r="38" spans="1:17">
      <c r="A38" s="93"/>
      <c r="B38" s="85"/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</row>
    <row r="39" spans="1:17">
      <c r="A39" s="452"/>
      <c r="B39" s="85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</row>
    <row r="40" spans="1:17">
      <c r="A40" s="93"/>
      <c r="B40" s="85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</row>
    <row r="41" spans="1:17">
      <c r="A41" s="451"/>
      <c r="B41" s="206"/>
      <c r="C41" s="450"/>
      <c r="D41" s="450"/>
      <c r="E41" s="450"/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</row>
    <row r="42" spans="1:17">
      <c r="A42" s="93"/>
      <c r="B42" s="85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7">
      <c r="A43" s="93"/>
      <c r="B43" s="85"/>
      <c r="C43" s="449"/>
      <c r="D43" s="449"/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</row>
  </sheetData>
  <sheetProtection sheet="1" objects="1" scenarios="1"/>
  <printOptions verticalCentered="1"/>
  <pageMargins left="0.78740157480314965" right="0.78740157480314965" top="0.59055118110236227" bottom="0.98425196850393704" header="0.31496062992125984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10" sqref="F10"/>
    </sheetView>
  </sheetViews>
  <sheetFormatPr baseColWidth="10" defaultRowHeight="12" x14ac:dyDescent="0"/>
  <cols>
    <col min="1" max="1" width="4" style="2" customWidth="1"/>
    <col min="2" max="2" width="17.6640625" style="2" customWidth="1"/>
    <col min="3" max="3" width="8.5" style="2" customWidth="1"/>
    <col min="4" max="4" width="7.6640625" style="2" customWidth="1"/>
    <col min="5" max="17" width="6.5" style="2" customWidth="1"/>
    <col min="18" max="16384" width="10.83203125" style="2"/>
  </cols>
  <sheetData>
    <row r="1" spans="1:17">
      <c r="A1" s="102" t="s">
        <v>752</v>
      </c>
      <c r="C1" s="48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B2" s="102"/>
      <c r="C2" s="74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>
      <c r="A3" s="64" t="s">
        <v>751</v>
      </c>
      <c r="C3" s="74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13" thickBot="1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s="115" customFormat="1" ht="18.75" customHeight="1" thickTop="1" thickBot="1">
      <c r="A5" s="391"/>
      <c r="B5" s="391"/>
      <c r="C5" s="391"/>
      <c r="D5" s="391">
        <v>1925</v>
      </c>
      <c r="E5" s="391">
        <v>1926</v>
      </c>
      <c r="F5" s="391">
        <v>1927</v>
      </c>
      <c r="G5" s="391">
        <v>1928</v>
      </c>
      <c r="H5" s="391">
        <v>1929</v>
      </c>
      <c r="I5" s="391">
        <v>1930</v>
      </c>
      <c r="J5" s="391">
        <v>1931</v>
      </c>
      <c r="K5" s="391">
        <v>1932</v>
      </c>
      <c r="L5" s="391">
        <v>1933</v>
      </c>
      <c r="M5" s="391">
        <v>1934</v>
      </c>
      <c r="N5" s="391">
        <v>1935</v>
      </c>
      <c r="O5" s="391">
        <v>1936</v>
      </c>
      <c r="P5" s="391">
        <v>1937</v>
      </c>
      <c r="Q5" s="391">
        <v>1938</v>
      </c>
    </row>
    <row r="6" spans="1:17" ht="30" customHeight="1" thickTop="1">
      <c r="A6" s="463" t="s">
        <v>715</v>
      </c>
      <c r="B6" s="404" t="s">
        <v>750</v>
      </c>
      <c r="C6" s="200" t="s">
        <v>533</v>
      </c>
      <c r="D6" s="462">
        <f>'a-12'!D46*0.001</f>
        <v>8.0587749999999971</v>
      </c>
      <c r="E6" s="462">
        <f>'a-12'!E46*0.001</f>
        <v>7.4731000126953075</v>
      </c>
      <c r="F6" s="462">
        <f>'a-12'!F46*0.001</f>
        <v>8.8003324451744032</v>
      </c>
      <c r="G6" s="462">
        <f>'a-12'!G46*0.001</f>
        <v>8.8456471521579996</v>
      </c>
      <c r="H6" s="462">
        <f>'a-12'!H46*0.001</f>
        <v>10.226634820784634</v>
      </c>
      <c r="I6" s="462">
        <f>'a-12'!I46*0.001</f>
        <v>9.9264815472970565</v>
      </c>
      <c r="J6" s="462">
        <f>'a-12'!J46*0.001</f>
        <v>7.9501723424866739</v>
      </c>
      <c r="K6" s="462">
        <f>'a-12'!K46*0.001</f>
        <v>6.4899752408023597</v>
      </c>
      <c r="L6" s="462">
        <f>'a-12'!L46*0.001</f>
        <v>7.8967837217306514</v>
      </c>
      <c r="M6" s="462">
        <f>'a-12'!M46*0.001</f>
        <v>10.173055676642232</v>
      </c>
      <c r="N6" s="462">
        <f>'a-12'!N46*0.001</f>
        <v>9.966666565644493</v>
      </c>
      <c r="O6" s="462">
        <f>'a-12'!O46*0.001</f>
        <v>10.714927701849076</v>
      </c>
      <c r="P6" s="462">
        <f>'a-12'!P46*0.001</f>
        <v>15.6833933922379</v>
      </c>
      <c r="Q6" s="462">
        <f>'a-12'!Q46*0.001</f>
        <v>22.197988172712023</v>
      </c>
    </row>
    <row r="7" spans="1:17" ht="36">
      <c r="A7" s="393"/>
      <c r="B7" s="397" t="s">
        <v>749</v>
      </c>
      <c r="C7" s="200" t="s">
        <v>748</v>
      </c>
      <c r="D7" s="52">
        <v>136.6</v>
      </c>
      <c r="E7" s="52">
        <v>133.6</v>
      </c>
      <c r="F7" s="52">
        <v>138.6</v>
      </c>
      <c r="G7" s="52">
        <v>148.4</v>
      </c>
      <c r="H7" s="52">
        <v>151.1</v>
      </c>
      <c r="I7" s="52">
        <v>149</v>
      </c>
      <c r="J7" s="52">
        <v>134.1</v>
      </c>
      <c r="K7" s="52">
        <v>119.6</v>
      </c>
      <c r="L7" s="52">
        <v>114.6</v>
      </c>
      <c r="M7" s="52">
        <v>112.2</v>
      </c>
      <c r="N7" s="52">
        <v>112.6</v>
      </c>
      <c r="O7" s="52">
        <v>112.7</v>
      </c>
      <c r="P7" s="52">
        <v>115.4</v>
      </c>
      <c r="Q7" s="52">
        <v>114.9</v>
      </c>
    </row>
    <row r="8" spans="1:17" s="26" customFormat="1" ht="24">
      <c r="A8" s="465" t="s">
        <v>26</v>
      </c>
      <c r="B8" s="464" t="s">
        <v>747</v>
      </c>
      <c r="C8" s="201" t="s">
        <v>746</v>
      </c>
      <c r="D8" s="462">
        <f t="shared" ref="D8:Q8" si="0">D6*100/D7</f>
        <v>5.8995424597364545</v>
      </c>
      <c r="E8" s="462">
        <f t="shared" si="0"/>
        <v>5.5936377340533738</v>
      </c>
      <c r="F8" s="462">
        <f t="shared" si="0"/>
        <v>6.3494462086395407</v>
      </c>
      <c r="G8" s="462">
        <f t="shared" si="0"/>
        <v>5.9606786739609161</v>
      </c>
      <c r="H8" s="462">
        <f t="shared" si="0"/>
        <v>6.7681236404928091</v>
      </c>
      <c r="I8" s="462">
        <f t="shared" si="0"/>
        <v>6.6620681525483603</v>
      </c>
      <c r="J8" s="462">
        <f t="shared" si="0"/>
        <v>5.9285401509967741</v>
      </c>
      <c r="K8" s="462">
        <f t="shared" si="0"/>
        <v>5.4264007030120069</v>
      </c>
      <c r="L8" s="462">
        <f t="shared" si="0"/>
        <v>6.8907362318766587</v>
      </c>
      <c r="M8" s="462">
        <f t="shared" si="0"/>
        <v>9.0668945424618812</v>
      </c>
      <c r="N8" s="462">
        <f t="shared" si="0"/>
        <v>8.8513912661141152</v>
      </c>
      <c r="O8" s="462">
        <f t="shared" si="0"/>
        <v>9.5074779963168368</v>
      </c>
      <c r="P8" s="462">
        <f t="shared" si="0"/>
        <v>13.590462211644626</v>
      </c>
      <c r="Q8" s="462">
        <f t="shared" si="0"/>
        <v>19.319397887477823</v>
      </c>
    </row>
    <row r="9" spans="1:17" ht="24">
      <c r="A9" s="463" t="s">
        <v>158</v>
      </c>
      <c r="B9" s="404" t="s">
        <v>745</v>
      </c>
      <c r="C9" s="200" t="s">
        <v>686</v>
      </c>
      <c r="D9" s="462">
        <f>'b-5d'!D16</f>
        <v>53.442124999999997</v>
      </c>
      <c r="E9" s="52">
        <f>'b-5d'!E16</f>
        <v>55.185815421219026</v>
      </c>
      <c r="F9" s="52">
        <f>'b-5d'!F16</f>
        <v>61.334191296809578</v>
      </c>
      <c r="G9" s="52">
        <f>'b-5d'!G16</f>
        <v>65.855975507787292</v>
      </c>
      <c r="H9" s="52">
        <f>'b-5d'!H16</f>
        <v>65.207006968942011</v>
      </c>
      <c r="I9" s="52">
        <f>'b-5d'!I16</f>
        <v>62.280108878627274</v>
      </c>
      <c r="J9" s="52">
        <f>'b-5d'!J16</f>
        <v>54.666792293177281</v>
      </c>
      <c r="K9" s="52">
        <f>'b-5d'!K16</f>
        <v>45.93177925363014</v>
      </c>
      <c r="L9" s="52">
        <f>'b-5d'!L16</f>
        <v>43.344016308942109</v>
      </c>
      <c r="M9" s="52">
        <f>'b-5d'!M16</f>
        <v>44.886004892940484</v>
      </c>
      <c r="N9" s="52">
        <f>'b-5d'!N16</f>
        <v>48.497437588021732</v>
      </c>
      <c r="O9" s="52">
        <f>'b-5d'!O16</f>
        <v>52.62132696000463</v>
      </c>
      <c r="P9" s="52">
        <f>'b-5d'!P16</f>
        <v>55.085488962005847</v>
      </c>
      <c r="Q9" s="52">
        <f>'b-5d'!Q16</f>
        <v>56.317927762116554</v>
      </c>
    </row>
    <row r="10" spans="1:17" ht="36">
      <c r="A10" s="393"/>
      <c r="B10" s="397" t="s">
        <v>744</v>
      </c>
      <c r="C10" s="200" t="s">
        <v>743</v>
      </c>
      <c r="D10" s="52">
        <v>141.9</v>
      </c>
      <c r="E10" s="52">
        <v>142.19999999999999</v>
      </c>
      <c r="F10" s="52">
        <v>147.9</v>
      </c>
      <c r="G10" s="52">
        <v>151.69999999999999</v>
      </c>
      <c r="H10" s="52">
        <v>154</v>
      </c>
      <c r="I10" s="52">
        <v>148.1</v>
      </c>
      <c r="J10" s="52">
        <v>136.1</v>
      </c>
      <c r="K10" s="52">
        <v>117.7</v>
      </c>
      <c r="L10" s="52">
        <v>115.4</v>
      </c>
      <c r="M10" s="52">
        <v>117.6</v>
      </c>
      <c r="N10" s="52">
        <v>119.8</v>
      </c>
      <c r="O10" s="52">
        <v>120.9</v>
      </c>
      <c r="P10" s="52">
        <v>121.6</v>
      </c>
      <c r="Q10" s="52">
        <v>123.7</v>
      </c>
    </row>
    <row r="11" spans="1:17" ht="24">
      <c r="A11" s="463" t="s">
        <v>742</v>
      </c>
      <c r="B11" s="404" t="s">
        <v>741</v>
      </c>
      <c r="C11" s="200" t="s">
        <v>740</v>
      </c>
      <c r="D11" s="462">
        <f t="shared" ref="D11:Q11" si="1">100*D9/D10</f>
        <v>37.661821705426355</v>
      </c>
      <c r="E11" s="52">
        <f t="shared" si="1"/>
        <v>38.808590310280607</v>
      </c>
      <c r="F11" s="52">
        <f t="shared" si="1"/>
        <v>41.470041444766444</v>
      </c>
      <c r="G11" s="52">
        <f t="shared" si="1"/>
        <v>43.41198121805359</v>
      </c>
      <c r="H11" s="52">
        <f t="shared" si="1"/>
        <v>42.342212317494813</v>
      </c>
      <c r="I11" s="52">
        <f t="shared" si="1"/>
        <v>42.052740633779386</v>
      </c>
      <c r="J11" s="52">
        <f t="shared" si="1"/>
        <v>40.166636512253696</v>
      </c>
      <c r="K11" s="52">
        <f t="shared" si="1"/>
        <v>39.024451362472504</v>
      </c>
      <c r="L11" s="52">
        <f t="shared" si="1"/>
        <v>37.559806160261793</v>
      </c>
      <c r="M11" s="52">
        <f t="shared" si="1"/>
        <v>38.168371507602451</v>
      </c>
      <c r="N11" s="52">
        <f t="shared" si="1"/>
        <v>40.482001325560709</v>
      </c>
      <c r="O11" s="52">
        <f t="shared" si="1"/>
        <v>43.524670769234596</v>
      </c>
      <c r="P11" s="52">
        <f t="shared" si="1"/>
        <v>45.300566580596914</v>
      </c>
      <c r="Q11" s="52">
        <f t="shared" si="1"/>
        <v>45.527831658946283</v>
      </c>
    </row>
    <row r="12" spans="1:17" ht="5.75" customHeight="1" thickBot="1">
      <c r="A12" s="461"/>
      <c r="B12" s="461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7" ht="13" thickTop="1"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</row>
    <row r="14" spans="1:17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>
      <c r="A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2:17">
      <c r="B17" s="47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2:17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2:17">
      <c r="B19" s="47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7">
      <c r="B20" s="450"/>
      <c r="C20" s="460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</row>
  </sheetData>
  <sheetProtection sheet="1" objects="1" scenarios="1"/>
  <printOptions vertic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Z44" sqref="Z44"/>
    </sheetView>
  </sheetViews>
  <sheetFormatPr baseColWidth="10" defaultRowHeight="12" x14ac:dyDescent="0"/>
  <cols>
    <col min="1" max="1" width="2.5" style="2" customWidth="1"/>
    <col min="2" max="2" width="16.5" style="2" customWidth="1"/>
    <col min="3" max="3" width="2.83203125" style="2" customWidth="1"/>
    <col min="4" max="4" width="6.33203125" style="2" customWidth="1"/>
    <col min="5" max="5" width="7" style="2" customWidth="1"/>
    <col min="6" max="18" width="7.33203125" style="2" customWidth="1"/>
    <col min="19" max="16384" width="10.83203125" style="2"/>
  </cols>
  <sheetData>
    <row r="1" spans="1:18">
      <c r="A1" s="393" t="s">
        <v>768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>
      <c r="B2" s="393"/>
      <c r="C2" s="393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18">
      <c r="A3" s="381" t="s">
        <v>767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18" ht="13" thickBot="1">
      <c r="B4" s="393"/>
      <c r="C4" s="393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</row>
    <row r="5" spans="1:18" s="115" customFormat="1" ht="18.75" customHeight="1" thickTop="1" thickBot="1">
      <c r="A5" s="391"/>
      <c r="B5" s="391"/>
      <c r="C5" s="391"/>
      <c r="D5" s="391"/>
      <c r="E5" s="391">
        <v>1925</v>
      </c>
      <c r="F5" s="391">
        <v>1926</v>
      </c>
      <c r="G5" s="391">
        <v>1927</v>
      </c>
      <c r="H5" s="391">
        <v>1928</v>
      </c>
      <c r="I5" s="391">
        <v>1929</v>
      </c>
      <c r="J5" s="391">
        <v>1930</v>
      </c>
      <c r="K5" s="391">
        <v>1931</v>
      </c>
      <c r="L5" s="391">
        <v>1932</v>
      </c>
      <c r="M5" s="391">
        <v>1933</v>
      </c>
      <c r="N5" s="391">
        <v>1934</v>
      </c>
      <c r="O5" s="391">
        <v>1935</v>
      </c>
      <c r="P5" s="391">
        <v>1936</v>
      </c>
      <c r="Q5" s="391">
        <v>1937</v>
      </c>
      <c r="R5" s="391">
        <v>1938</v>
      </c>
    </row>
    <row r="6" spans="1:18" ht="16.5" customHeight="1" thickTop="1">
      <c r="A6" s="383"/>
      <c r="B6" s="52" t="s">
        <v>766</v>
      </c>
      <c r="C6" s="52"/>
      <c r="D6" s="200" t="s">
        <v>743</v>
      </c>
      <c r="E6" s="440">
        <f>'b-8d'!D8</f>
        <v>5.8995424597364545</v>
      </c>
      <c r="F6" s="440">
        <f>'b-8d'!E8</f>
        <v>5.5936377340533738</v>
      </c>
      <c r="G6" s="440">
        <f>'b-8d'!F8</f>
        <v>6.3494462086395407</v>
      </c>
      <c r="H6" s="440">
        <f>'b-8d'!G8</f>
        <v>5.9606786739609161</v>
      </c>
      <c r="I6" s="440">
        <f>'b-8d'!H8</f>
        <v>6.7681236404928091</v>
      </c>
      <c r="J6" s="440">
        <f>'b-8d'!I8</f>
        <v>6.6620681525483603</v>
      </c>
      <c r="K6" s="440">
        <f>'b-8d'!J8</f>
        <v>5.9285401509967741</v>
      </c>
      <c r="L6" s="440">
        <f>'b-8d'!K8</f>
        <v>5.4264007030120069</v>
      </c>
      <c r="M6" s="440">
        <f>'b-8d'!L8</f>
        <v>6.8907362318766587</v>
      </c>
      <c r="N6" s="440">
        <f>'b-8d'!M8</f>
        <v>9.0668945424618812</v>
      </c>
      <c r="O6" s="440">
        <f>'b-8d'!N8</f>
        <v>8.8513912661141152</v>
      </c>
      <c r="P6" s="440">
        <f>'b-8d'!O8</f>
        <v>9.5074779963168368</v>
      </c>
      <c r="Q6" s="440">
        <f>'b-8d'!P8</f>
        <v>13.590462211644626</v>
      </c>
      <c r="R6" s="440">
        <f>'b-8d'!Q8</f>
        <v>19.319397887477823</v>
      </c>
    </row>
    <row r="7" spans="1:18">
      <c r="A7" s="383"/>
      <c r="B7" s="52" t="s">
        <v>687</v>
      </c>
      <c r="C7" s="52"/>
      <c r="D7" s="200" t="s">
        <v>765</v>
      </c>
      <c r="E7" s="440">
        <f>'b-8d'!D11</f>
        <v>37.661821705426355</v>
      </c>
      <c r="F7" s="440">
        <f>'b-8d'!E11</f>
        <v>38.808590310280607</v>
      </c>
      <c r="G7" s="440">
        <f>'b-8d'!F11</f>
        <v>41.470041444766444</v>
      </c>
      <c r="H7" s="440">
        <f>'b-8d'!G11</f>
        <v>43.41198121805359</v>
      </c>
      <c r="I7" s="440">
        <f>'b-8d'!H11</f>
        <v>42.342212317494813</v>
      </c>
      <c r="J7" s="440">
        <f>'b-8d'!I11</f>
        <v>42.052740633779386</v>
      </c>
      <c r="K7" s="440">
        <f>'b-8d'!J11</f>
        <v>40.166636512253696</v>
      </c>
      <c r="L7" s="440">
        <f>'b-8d'!K11</f>
        <v>39.024451362472504</v>
      </c>
      <c r="M7" s="440">
        <f>'b-8d'!L11</f>
        <v>37.559806160261793</v>
      </c>
      <c r="N7" s="440">
        <f>'b-8d'!M11</f>
        <v>38.168371507602451</v>
      </c>
      <c r="O7" s="440">
        <f>'b-8d'!N11</f>
        <v>40.482001325560709</v>
      </c>
      <c r="P7" s="440">
        <f>'b-8d'!O11</f>
        <v>43.524670769234596</v>
      </c>
      <c r="Q7" s="440">
        <f>'b-8d'!P11</f>
        <v>45.300566580596914</v>
      </c>
      <c r="R7" s="440">
        <f>'b-8d'!Q11</f>
        <v>45.527831658946283</v>
      </c>
    </row>
    <row r="8" spans="1:18" ht="24">
      <c r="A8" s="383"/>
      <c r="B8" s="397" t="s">
        <v>764</v>
      </c>
      <c r="C8" s="397"/>
      <c r="D8" s="200" t="s">
        <v>709</v>
      </c>
      <c r="E8" s="440">
        <f>'b-6d'!D13</f>
        <v>6.9556969467817016</v>
      </c>
      <c r="F8" s="440">
        <f>'b-6d'!E13</f>
        <v>7.3769878140990688</v>
      </c>
      <c r="G8" s="440">
        <f>'b-6d'!F13</f>
        <v>8.9716696025077525</v>
      </c>
      <c r="H8" s="440">
        <f>'b-6d'!G13</f>
        <v>8.9757039489040267</v>
      </c>
      <c r="I8" s="440">
        <f>'b-6d'!H13</f>
        <v>8.3707474736889935</v>
      </c>
      <c r="J8" s="440">
        <f>'b-6d'!I13</f>
        <v>6.7814565752761169</v>
      </c>
      <c r="K8" s="440">
        <f>'b-6d'!J13</f>
        <v>4.5916405956701292</v>
      </c>
      <c r="L8" s="440">
        <f>'b-6d'!K13</f>
        <v>3.449456007285189</v>
      </c>
      <c r="M8" s="440">
        <f>'b-6d'!L13</f>
        <v>4.3217476589055632</v>
      </c>
      <c r="N8" s="440">
        <f>'b-6d'!M13</f>
        <v>6.8489333700007862</v>
      </c>
      <c r="O8" s="440">
        <f>'b-6d'!N13</f>
        <v>9.6548203748259045</v>
      </c>
      <c r="P8" s="440">
        <f>'b-6d'!O13</f>
        <v>11.435017001995849</v>
      </c>
      <c r="Q8" s="440">
        <f>'b-6d'!P13</f>
        <v>13.117489804918684</v>
      </c>
      <c r="R8" s="440">
        <f>'b-6d'!Q13</f>
        <v>15.379898390027602</v>
      </c>
    </row>
    <row r="9" spans="1:18">
      <c r="A9" s="383"/>
      <c r="B9" s="52" t="s">
        <v>763</v>
      </c>
      <c r="C9" s="52"/>
      <c r="D9" s="200" t="s">
        <v>612</v>
      </c>
      <c r="E9" s="440">
        <f>'b-3d'!D14</f>
        <v>1.32</v>
      </c>
      <c r="F9" s="440">
        <v>-0.83</v>
      </c>
      <c r="G9" s="440">
        <v>2.38</v>
      </c>
      <c r="H9" s="440">
        <v>1.31</v>
      </c>
      <c r="I9" s="440">
        <v>0.36</v>
      </c>
      <c r="J9" s="440">
        <v>-1.74</v>
      </c>
      <c r="K9" s="440">
        <v>-3.13</v>
      </c>
      <c r="L9" s="440">
        <v>-1.52</v>
      </c>
      <c r="M9" s="440">
        <v>0.44</v>
      </c>
      <c r="N9" s="440">
        <v>1.05</v>
      </c>
      <c r="O9" s="440">
        <v>1.24</v>
      </c>
      <c r="P9" s="440">
        <v>1.42</v>
      </c>
      <c r="Q9" s="440">
        <v>1.59</v>
      </c>
      <c r="R9" s="440">
        <v>1.77</v>
      </c>
    </row>
    <row r="10" spans="1:18">
      <c r="A10" s="383"/>
      <c r="B10" s="52" t="s">
        <v>762</v>
      </c>
      <c r="C10" s="52"/>
      <c r="D10" s="200" t="s">
        <v>727</v>
      </c>
      <c r="E10" s="440">
        <f>'b-7d'!C12*0.001</f>
        <v>-1.3371868174672727</v>
      </c>
      <c r="F10" s="440">
        <f>'b-7d'!D12*0.001</f>
        <v>0.11983558551516399</v>
      </c>
      <c r="G10" s="440">
        <f>'b-7d'!E12*0.001</f>
        <v>-2.9542771698623165</v>
      </c>
      <c r="H10" s="440">
        <f>'b-7d'!F12*0.001</f>
        <v>-1.7509696089144</v>
      </c>
      <c r="I10" s="440">
        <f>'b-7d'!G12*0.001</f>
        <v>-0.96983195050998072</v>
      </c>
      <c r="J10" s="440">
        <f>'b-7d'!H12*0.001</f>
        <v>-0.85430128673372019</v>
      </c>
      <c r="K10" s="440">
        <f>'b-7d'!I12*0.001</f>
        <v>-0.99429681043843088</v>
      </c>
      <c r="L10" s="440">
        <f>'b-7d'!J12*0.001</f>
        <v>-3.2427908099348333</v>
      </c>
      <c r="M10" s="440">
        <f>'b-7d'!K12*0.001</f>
        <v>-2.8849027933891165</v>
      </c>
      <c r="N10" s="440">
        <f>'b-7d'!L12*0.001</f>
        <v>-3.5849963045084996</v>
      </c>
      <c r="O10" s="440">
        <f>'b-7d'!M12*0.001</f>
        <v>-2.4495795672266261</v>
      </c>
      <c r="P10" s="440">
        <f>'b-7d'!N12*0.001</f>
        <v>-1.4026300830479568</v>
      </c>
      <c r="Q10" s="440">
        <f>'b-7d'!O12*0.001</f>
        <v>-2.0083780880773356</v>
      </c>
      <c r="R10" s="440">
        <f>'b-7d'!P12*0.001</f>
        <v>-4.2182885604882143</v>
      </c>
    </row>
    <row r="11" spans="1:18" ht="39.75" customHeight="1">
      <c r="A11" s="404" t="s">
        <v>715</v>
      </c>
      <c r="B11" s="398" t="s">
        <v>761</v>
      </c>
      <c r="C11" s="398"/>
      <c r="D11" s="200" t="s">
        <v>760</v>
      </c>
      <c r="E11" s="440">
        <f t="shared" ref="E11:R11" si="0">E6+E7+E8+E9+E10</f>
        <v>50.499874294477237</v>
      </c>
      <c r="F11" s="440">
        <f t="shared" si="0"/>
        <v>51.069051443948211</v>
      </c>
      <c r="G11" s="440">
        <f t="shared" si="0"/>
        <v>56.216880086051425</v>
      </c>
      <c r="H11" s="440">
        <f t="shared" si="0"/>
        <v>57.90739423200413</v>
      </c>
      <c r="I11" s="440">
        <f t="shared" si="0"/>
        <v>56.871251481166638</v>
      </c>
      <c r="J11" s="440">
        <f t="shared" si="0"/>
        <v>52.901964074870136</v>
      </c>
      <c r="K11" s="440">
        <f t="shared" si="0"/>
        <v>46.562520448482168</v>
      </c>
      <c r="L11" s="440">
        <f t="shared" si="0"/>
        <v>43.137517262834869</v>
      </c>
      <c r="M11" s="440">
        <f t="shared" si="0"/>
        <v>46.327387257654898</v>
      </c>
      <c r="N11" s="440">
        <f t="shared" si="0"/>
        <v>51.549203115556615</v>
      </c>
      <c r="O11" s="440">
        <f t="shared" si="0"/>
        <v>57.778633399274099</v>
      </c>
      <c r="P11" s="440">
        <f t="shared" si="0"/>
        <v>64.484535684499335</v>
      </c>
      <c r="Q11" s="440">
        <f t="shared" si="0"/>
        <v>71.590140509082886</v>
      </c>
      <c r="R11" s="440">
        <f t="shared" si="0"/>
        <v>77.778839375963486</v>
      </c>
    </row>
    <row r="12" spans="1:18" ht="39.75" customHeight="1">
      <c r="A12" s="383"/>
      <c r="B12" s="398" t="s">
        <v>759</v>
      </c>
      <c r="C12" s="398"/>
      <c r="D12" s="200" t="s">
        <v>704</v>
      </c>
      <c r="E12" s="440">
        <f>'b-6d'!D17</f>
        <v>3.7728643216080404</v>
      </c>
      <c r="F12" s="440">
        <f>'b-6d'!E17</f>
        <v>4.0068154711194408</v>
      </c>
      <c r="G12" s="440">
        <f>'b-6d'!F17</f>
        <v>4.3706222373342394</v>
      </c>
      <c r="H12" s="440">
        <f>'b-6d'!G17</f>
        <v>4.3364606923325786</v>
      </c>
      <c r="I12" s="440">
        <f>'b-6d'!H17</f>
        <v>4.4050793650793647</v>
      </c>
      <c r="J12" s="440">
        <f>'b-6d'!I17</f>
        <v>4.4674565817237468</v>
      </c>
      <c r="K12" s="440">
        <f>'b-6d'!J17</f>
        <v>4.4888888888888889</v>
      </c>
      <c r="L12" s="440">
        <f>'b-6d'!K17</f>
        <v>4.7518858307849134</v>
      </c>
      <c r="M12" s="440">
        <f>'b-6d'!L17</f>
        <v>4.9559105431309911</v>
      </c>
      <c r="N12" s="440">
        <f>'b-6d'!M17</f>
        <v>4.8769874476987454</v>
      </c>
      <c r="O12" s="440">
        <f>'b-6d'!N17</f>
        <v>5.3411224702691422</v>
      </c>
      <c r="P12" s="440">
        <f>'b-6d'!O17</f>
        <v>5.819995842860112</v>
      </c>
      <c r="Q12" s="440">
        <f>'b-6d'!P17</f>
        <v>6.0905349794238681</v>
      </c>
      <c r="R12" s="440">
        <f>'b-6d'!Q17</f>
        <v>6.3260340632603418</v>
      </c>
    </row>
    <row r="13" spans="1:18" ht="48">
      <c r="A13" s="404" t="s">
        <v>758</v>
      </c>
      <c r="B13" s="398" t="s">
        <v>757</v>
      </c>
      <c r="C13" s="398"/>
      <c r="D13" s="200" t="s">
        <v>756</v>
      </c>
      <c r="E13" s="440">
        <f t="shared" ref="E13:R13" si="1">E11-E12</f>
        <v>46.727009972869197</v>
      </c>
      <c r="F13" s="440">
        <f t="shared" si="1"/>
        <v>47.062235972828773</v>
      </c>
      <c r="G13" s="440">
        <f t="shared" si="1"/>
        <v>51.846257848717187</v>
      </c>
      <c r="H13" s="440">
        <f t="shared" si="1"/>
        <v>53.57093353967155</v>
      </c>
      <c r="I13" s="440">
        <f t="shared" si="1"/>
        <v>52.466172116087272</v>
      </c>
      <c r="J13" s="440">
        <f t="shared" si="1"/>
        <v>48.434507493146391</v>
      </c>
      <c r="K13" s="440">
        <f t="shared" si="1"/>
        <v>42.073631559593281</v>
      </c>
      <c r="L13" s="440">
        <f t="shared" si="1"/>
        <v>38.385631432049955</v>
      </c>
      <c r="M13" s="440">
        <f t="shared" si="1"/>
        <v>41.371476714523908</v>
      </c>
      <c r="N13" s="440">
        <f t="shared" si="1"/>
        <v>46.67221566785787</v>
      </c>
      <c r="O13" s="440">
        <f t="shared" si="1"/>
        <v>52.437510929004958</v>
      </c>
      <c r="P13" s="440">
        <f t="shared" si="1"/>
        <v>58.664539841639225</v>
      </c>
      <c r="Q13" s="440">
        <f t="shared" si="1"/>
        <v>65.499605529659021</v>
      </c>
      <c r="R13" s="440">
        <f t="shared" si="1"/>
        <v>71.452805312703148</v>
      </c>
    </row>
    <row r="14" spans="1:18" ht="24">
      <c r="A14" s="383"/>
      <c r="B14" s="398" t="s">
        <v>755</v>
      </c>
      <c r="C14" s="397" t="s">
        <v>13</v>
      </c>
      <c r="D14" s="200" t="s">
        <v>754</v>
      </c>
      <c r="E14" s="440">
        <v>46.896999999999998</v>
      </c>
      <c r="F14" s="440">
        <v>46.587000000000003</v>
      </c>
      <c r="G14" s="440">
        <v>53.107999999999997</v>
      </c>
      <c r="H14" s="440">
        <v>53.95</v>
      </c>
      <c r="I14" s="440">
        <v>51.694000000000003</v>
      </c>
      <c r="J14" s="440">
        <v>49.289000000000001</v>
      </c>
      <c r="K14" s="440">
        <v>43.912999999999997</v>
      </c>
      <c r="L14" s="440">
        <v>41.76</v>
      </c>
      <c r="M14" s="440">
        <v>47.375</v>
      </c>
      <c r="N14" s="440">
        <v>52.101999999999997</v>
      </c>
      <c r="O14" s="440">
        <v>58.658000000000001</v>
      </c>
      <c r="P14" s="440"/>
      <c r="Q14" s="440"/>
      <c r="R14" s="440"/>
    </row>
    <row r="15" spans="1:18">
      <c r="A15" s="383"/>
      <c r="B15" s="63"/>
      <c r="C15" s="63" t="s">
        <v>10</v>
      </c>
      <c r="D15" s="200" t="s">
        <v>753</v>
      </c>
      <c r="E15" s="440">
        <v>47.426000000000002</v>
      </c>
      <c r="F15" s="440">
        <v>47.491</v>
      </c>
      <c r="G15" s="440">
        <v>54.67</v>
      </c>
      <c r="H15" s="440">
        <v>55.936</v>
      </c>
      <c r="I15" s="440">
        <v>52.563000000000002</v>
      </c>
      <c r="J15" s="440">
        <v>50.707999999999998</v>
      </c>
      <c r="K15" s="440">
        <v>45.231999999999999</v>
      </c>
      <c r="L15" s="440">
        <v>44.082000000000001</v>
      </c>
      <c r="M15" s="440">
        <v>49.829000000000001</v>
      </c>
      <c r="N15" s="440">
        <v>54.581000000000003</v>
      </c>
      <c r="O15" s="440">
        <v>60.351999999999997</v>
      </c>
      <c r="P15" s="440">
        <v>66.225999999999999</v>
      </c>
      <c r="Q15" s="440">
        <v>73.167000000000002</v>
      </c>
      <c r="R15" s="440">
        <v>81.334999999999994</v>
      </c>
    </row>
    <row r="16" spans="1:18" ht="3.75" customHeight="1" thickBot="1">
      <c r="A16" s="55"/>
      <c r="B16" s="55"/>
      <c r="C16" s="55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2:18" ht="13" thickTop="1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</row>
    <row r="18" spans="2:18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2:18">
      <c r="B20" s="47"/>
      <c r="C20" s="47"/>
      <c r="D20" s="46"/>
      <c r="E20" s="46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548"/>
      <c r="Q20" s="548"/>
      <c r="R20" s="548"/>
    </row>
    <row r="21" spans="2:18">
      <c r="B21" s="47"/>
      <c r="C21" s="47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2:18">
      <c r="B22" s="466"/>
      <c r="C22" s="466"/>
      <c r="D22" s="47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</row>
    <row r="23" spans="2:18">
      <c r="B23" s="466"/>
      <c r="C23" s="466"/>
      <c r="D23" s="47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6"/>
      <c r="Q23" s="466"/>
      <c r="R23" s="466"/>
    </row>
  </sheetData>
  <sheetProtection sheet="1" objects="1" scenarios="1"/>
  <printOptions vertic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O50" sqref="O50"/>
    </sheetView>
  </sheetViews>
  <sheetFormatPr baseColWidth="10" defaultRowHeight="12" x14ac:dyDescent="0"/>
  <cols>
    <col min="1" max="1" width="10.83203125" style="467"/>
    <col min="2" max="2" width="15.6640625" style="467" customWidth="1"/>
    <col min="3" max="3" width="16.1640625" style="467" customWidth="1"/>
    <col min="4" max="4" width="17.6640625" style="467" customWidth="1"/>
    <col min="5" max="16384" width="10.83203125" style="467"/>
  </cols>
  <sheetData>
    <row r="1" spans="1:8" ht="13">
      <c r="A1" s="472"/>
      <c r="B1" s="472"/>
      <c r="C1" s="472"/>
      <c r="D1" s="472"/>
      <c r="E1" s="472"/>
      <c r="F1" s="500"/>
      <c r="G1" s="500"/>
      <c r="H1" s="472"/>
    </row>
    <row r="2" spans="1:8" ht="13">
      <c r="A2" s="472"/>
      <c r="B2" s="472"/>
      <c r="C2" s="472"/>
      <c r="D2" s="472"/>
      <c r="E2" s="472"/>
      <c r="F2" s="500"/>
      <c r="G2" s="500"/>
      <c r="H2" s="472"/>
    </row>
    <row r="3" spans="1:8" ht="13">
      <c r="A3" s="472"/>
      <c r="B3" s="472"/>
      <c r="C3" s="472"/>
      <c r="D3" s="472"/>
      <c r="E3" s="472"/>
      <c r="F3" s="500"/>
      <c r="G3" s="500"/>
      <c r="H3" s="472"/>
    </row>
    <row r="4" spans="1:8" ht="13">
      <c r="A4" s="499" t="s">
        <v>799</v>
      </c>
      <c r="B4" s="472"/>
      <c r="C4" s="472"/>
      <c r="D4" s="472"/>
      <c r="E4" s="472"/>
      <c r="F4" s="500"/>
      <c r="G4" s="500"/>
      <c r="H4" s="472"/>
    </row>
    <row r="5" spans="1:8" ht="13">
      <c r="A5" s="499"/>
      <c r="B5" s="472"/>
      <c r="C5" s="472"/>
      <c r="D5" s="472"/>
      <c r="E5" s="472"/>
      <c r="F5" s="500"/>
      <c r="G5" s="500"/>
      <c r="H5" s="472"/>
    </row>
    <row r="6" spans="1:8" ht="13">
      <c r="A6" s="499" t="s">
        <v>798</v>
      </c>
      <c r="B6" s="503"/>
      <c r="C6" s="503"/>
      <c r="D6" s="503"/>
      <c r="E6" s="503"/>
      <c r="F6" s="504"/>
      <c r="G6" s="504"/>
      <c r="H6" s="503"/>
    </row>
    <row r="7" spans="1:8" ht="14" thickBot="1">
      <c r="A7" s="502"/>
      <c r="B7" s="475"/>
      <c r="C7" s="475"/>
      <c r="D7" s="475"/>
      <c r="E7" s="475"/>
      <c r="F7" s="501"/>
      <c r="G7" s="501"/>
      <c r="H7" s="475"/>
    </row>
    <row r="8" spans="1:8" ht="14" thickTop="1">
      <c r="A8" s="499"/>
      <c r="B8" s="472"/>
      <c r="C8" s="472"/>
      <c r="D8" s="472"/>
      <c r="E8" s="472"/>
      <c r="F8" s="500"/>
      <c r="G8" s="500"/>
      <c r="H8" s="472"/>
    </row>
    <row r="9" spans="1:8" ht="13">
      <c r="A9" s="499"/>
      <c r="B9" s="498" t="s">
        <v>797</v>
      </c>
      <c r="C9" s="498" t="s">
        <v>797</v>
      </c>
      <c r="D9" s="498" t="s">
        <v>795</v>
      </c>
      <c r="E9" s="498" t="s">
        <v>796</v>
      </c>
      <c r="F9" s="498" t="s">
        <v>796</v>
      </c>
      <c r="G9" s="498" t="s">
        <v>794</v>
      </c>
      <c r="H9" s="498" t="s">
        <v>795</v>
      </c>
    </row>
    <row r="10" spans="1:8" ht="13">
      <c r="A10" s="499"/>
      <c r="B10" s="498" t="s">
        <v>793</v>
      </c>
      <c r="C10" s="498" t="s">
        <v>794</v>
      </c>
      <c r="D10" s="498" t="s">
        <v>785</v>
      </c>
      <c r="E10" s="498" t="s">
        <v>793</v>
      </c>
      <c r="F10" s="498" t="s">
        <v>792</v>
      </c>
      <c r="G10" s="498" t="s">
        <v>791</v>
      </c>
      <c r="H10" s="498" t="s">
        <v>790</v>
      </c>
    </row>
    <row r="11" spans="1:8" ht="13">
      <c r="A11" s="499"/>
      <c r="B11" s="498" t="s">
        <v>789</v>
      </c>
      <c r="C11" s="498" t="s">
        <v>788</v>
      </c>
      <c r="D11" s="498" t="s">
        <v>787</v>
      </c>
      <c r="E11" s="498"/>
      <c r="F11" s="498" t="s">
        <v>773</v>
      </c>
      <c r="G11" s="498" t="s">
        <v>786</v>
      </c>
      <c r="H11" s="498" t="s">
        <v>785</v>
      </c>
    </row>
    <row r="12" spans="1:8" ht="13">
      <c r="A12" s="472"/>
      <c r="B12" s="498" t="s">
        <v>784</v>
      </c>
      <c r="C12" s="498" t="s">
        <v>783</v>
      </c>
      <c r="D12" s="498" t="s">
        <v>782</v>
      </c>
      <c r="E12" s="498"/>
      <c r="F12" s="498"/>
      <c r="G12" s="498" t="s">
        <v>781</v>
      </c>
      <c r="H12" s="498" t="s">
        <v>780</v>
      </c>
    </row>
    <row r="13" spans="1:8" ht="13">
      <c r="A13" s="472"/>
      <c r="B13" s="498" t="s">
        <v>779</v>
      </c>
      <c r="C13" s="497" t="s">
        <v>778</v>
      </c>
      <c r="D13" s="498"/>
      <c r="E13" s="498"/>
      <c r="F13" s="498"/>
      <c r="G13" s="497" t="s">
        <v>777</v>
      </c>
      <c r="H13" s="497" t="s">
        <v>776</v>
      </c>
    </row>
    <row r="14" spans="1:8" ht="14" thickBot="1">
      <c r="A14" s="496"/>
      <c r="B14" s="496"/>
      <c r="C14" s="495"/>
      <c r="D14" s="495"/>
      <c r="E14" s="493"/>
      <c r="F14" s="494"/>
      <c r="G14" s="494"/>
      <c r="H14" s="493"/>
    </row>
    <row r="15" spans="1:8" ht="14" thickTop="1">
      <c r="A15" s="492"/>
      <c r="B15" s="492"/>
      <c r="C15" s="483"/>
      <c r="D15" s="483"/>
      <c r="E15" s="481"/>
      <c r="F15" s="482"/>
      <c r="G15" s="482"/>
      <c r="H15" s="481"/>
    </row>
    <row r="16" spans="1:8" ht="13">
      <c r="A16" s="491"/>
      <c r="B16" s="489" t="s">
        <v>775</v>
      </c>
      <c r="C16" s="489" t="s">
        <v>774</v>
      </c>
      <c r="D16" s="490" t="s">
        <v>773</v>
      </c>
      <c r="E16" s="489" t="s">
        <v>772</v>
      </c>
      <c r="F16" s="489" t="s">
        <v>771</v>
      </c>
      <c r="G16" s="489" t="s">
        <v>770</v>
      </c>
      <c r="H16" s="489" t="s">
        <v>769</v>
      </c>
    </row>
    <row r="17" spans="1:8" ht="14" thickBot="1">
      <c r="A17" s="488"/>
      <c r="B17" s="488"/>
      <c r="C17" s="487"/>
      <c r="D17" s="487"/>
      <c r="E17" s="485"/>
      <c r="F17" s="486"/>
      <c r="G17" s="486"/>
      <c r="H17" s="485"/>
    </row>
    <row r="18" spans="1:8" ht="14" thickTop="1">
      <c r="A18" s="484"/>
      <c r="B18" s="484"/>
      <c r="C18" s="483"/>
      <c r="D18" s="483"/>
      <c r="E18" s="481"/>
      <c r="F18" s="482"/>
      <c r="G18" s="482"/>
      <c r="H18" s="481"/>
    </row>
    <row r="19" spans="1:8" ht="13">
      <c r="A19" s="478" t="s">
        <v>239</v>
      </c>
      <c r="B19" s="469">
        <v>12.702999999999999</v>
      </c>
      <c r="C19" s="469">
        <v>101.5</v>
      </c>
      <c r="D19" s="468">
        <v>15.951525390624999</v>
      </c>
      <c r="E19" s="468"/>
      <c r="F19" s="468">
        <v>16.5</v>
      </c>
      <c r="G19" s="479">
        <v>97.300003051757798</v>
      </c>
      <c r="H19" s="468">
        <v>16.054499511718799</v>
      </c>
    </row>
    <row r="20" spans="1:8" ht="13">
      <c r="A20" s="478" t="s">
        <v>237</v>
      </c>
      <c r="B20" s="469">
        <v>14.423</v>
      </c>
      <c r="C20" s="469">
        <v>107.9</v>
      </c>
      <c r="D20" s="468">
        <v>16.957335858605294</v>
      </c>
      <c r="E20" s="468"/>
      <c r="F20" s="468">
        <v>17.54</v>
      </c>
      <c r="G20" s="479">
        <v>97.300003051757798</v>
      </c>
      <c r="H20" s="468">
        <v>17.066420898437499</v>
      </c>
    </row>
    <row r="21" spans="1:8" ht="13">
      <c r="A21" s="478" t="s">
        <v>236</v>
      </c>
      <c r="B21" s="469">
        <v>14.442</v>
      </c>
      <c r="C21" s="469">
        <v>107.6</v>
      </c>
      <c r="D21" s="468">
        <v>16.910188492918717</v>
      </c>
      <c r="E21" s="468"/>
      <c r="F21" s="468">
        <v>17.489999999999998</v>
      </c>
      <c r="G21" s="479">
        <v>97.300003051757798</v>
      </c>
      <c r="H21" s="468">
        <v>17.017769775390601</v>
      </c>
    </row>
    <row r="22" spans="1:8" ht="13">
      <c r="A22" s="478" t="s">
        <v>235</v>
      </c>
      <c r="B22" s="469">
        <v>13.372</v>
      </c>
      <c r="C22" s="469">
        <v>101.5</v>
      </c>
      <c r="D22" s="468">
        <v>15.951525390624999</v>
      </c>
      <c r="E22" s="468"/>
      <c r="F22" s="468">
        <v>16.5</v>
      </c>
      <c r="G22" s="479">
        <v>97.300003051757798</v>
      </c>
      <c r="H22" s="468">
        <v>16.054499511718799</v>
      </c>
    </row>
    <row r="23" spans="1:8" ht="13">
      <c r="A23" s="478" t="s">
        <v>234</v>
      </c>
      <c r="B23" s="469">
        <v>12.255000000000001</v>
      </c>
      <c r="C23" s="469">
        <v>92.9</v>
      </c>
      <c r="D23" s="468">
        <v>14.59996757427648</v>
      </c>
      <c r="E23" s="468"/>
      <c r="F23" s="468">
        <v>15.1</v>
      </c>
      <c r="G23" s="479">
        <v>96.900001525878906</v>
      </c>
      <c r="H23" s="468">
        <v>14.6318994140625</v>
      </c>
    </row>
    <row r="24" spans="1:8" ht="13">
      <c r="A24" s="478" t="s">
        <v>232</v>
      </c>
      <c r="B24" s="469">
        <v>13.195</v>
      </c>
      <c r="C24" s="469">
        <v>97.6</v>
      </c>
      <c r="D24" s="468">
        <v>15.338609636699506</v>
      </c>
      <c r="E24" s="468"/>
      <c r="F24" s="468">
        <v>15.87</v>
      </c>
      <c r="G24" s="479">
        <v>96.900001525878906</v>
      </c>
      <c r="H24" s="468">
        <v>15.378029785156301</v>
      </c>
    </row>
    <row r="25" spans="1:8" ht="13">
      <c r="A25" s="478" t="s">
        <v>231</v>
      </c>
      <c r="B25" s="469">
        <v>13.645</v>
      </c>
      <c r="C25" s="469">
        <v>98.9</v>
      </c>
      <c r="D25" s="468">
        <v>15.542914888008006</v>
      </c>
      <c r="E25" s="468"/>
      <c r="F25" s="468">
        <v>16.079999999999998</v>
      </c>
      <c r="G25" s="479">
        <v>96.900001525878906</v>
      </c>
      <c r="H25" s="468">
        <v>15.5815197753906</v>
      </c>
    </row>
    <row r="26" spans="1:8" ht="13">
      <c r="A26" s="478" t="s">
        <v>230</v>
      </c>
      <c r="B26" s="469">
        <v>13.198</v>
      </c>
      <c r="C26" s="469">
        <v>98.7</v>
      </c>
      <c r="D26" s="468">
        <v>15.511483310883621</v>
      </c>
      <c r="E26" s="468"/>
      <c r="F26" s="468">
        <v>16.05</v>
      </c>
      <c r="G26" s="479">
        <v>96.900001525878906</v>
      </c>
      <c r="H26" s="468">
        <v>15.5524499511719</v>
      </c>
    </row>
    <row r="27" spans="1:8" ht="13">
      <c r="A27" s="478" t="s">
        <v>229</v>
      </c>
      <c r="B27" s="469">
        <v>12.79</v>
      </c>
      <c r="C27" s="469">
        <v>97</v>
      </c>
      <c r="D27" s="468">
        <v>15.244314905326354</v>
      </c>
      <c r="E27" s="468"/>
      <c r="F27" s="468">
        <v>15.77</v>
      </c>
      <c r="G27" s="479">
        <v>98.599998474121094</v>
      </c>
      <c r="H27" s="468">
        <v>15.549219970703099</v>
      </c>
    </row>
    <row r="28" spans="1:8" ht="13">
      <c r="A28" s="478" t="s">
        <v>227</v>
      </c>
      <c r="B28" s="469">
        <v>14.654999999999999</v>
      </c>
      <c r="C28" s="469">
        <v>107.7</v>
      </c>
      <c r="D28" s="468">
        <v>16.925904281480911</v>
      </c>
      <c r="E28" s="468"/>
      <c r="F28" s="468">
        <v>17.510000000000002</v>
      </c>
      <c r="G28" s="479">
        <v>98.599998474121094</v>
      </c>
      <c r="H28" s="468">
        <v>17.264859619140601</v>
      </c>
    </row>
    <row r="29" spans="1:8" ht="13">
      <c r="A29" s="478" t="s">
        <v>226</v>
      </c>
      <c r="B29" s="469">
        <v>14.575999999999999</v>
      </c>
      <c r="C29" s="469">
        <v>110.4</v>
      </c>
      <c r="D29" s="468">
        <v>17.350230572660099</v>
      </c>
      <c r="E29" s="468"/>
      <c r="F29" s="468">
        <v>17.95</v>
      </c>
      <c r="G29" s="479">
        <v>98.599998474121094</v>
      </c>
      <c r="H29" s="468">
        <v>17.6986999511719</v>
      </c>
    </row>
    <row r="30" spans="1:8" ht="13">
      <c r="A30" s="478" t="s">
        <v>225</v>
      </c>
      <c r="B30" s="469">
        <v>17.707999999999998</v>
      </c>
      <c r="C30" s="469">
        <v>107.6</v>
      </c>
      <c r="D30" s="468">
        <v>16.910188492918717</v>
      </c>
      <c r="E30" s="468"/>
      <c r="F30" s="468">
        <v>17.489999999999998</v>
      </c>
      <c r="G30" s="479">
        <v>98.599998474121094</v>
      </c>
      <c r="H30" s="468">
        <v>17.245139160156299</v>
      </c>
    </row>
    <row r="31" spans="1:8" ht="13">
      <c r="A31" s="478" t="s">
        <v>224</v>
      </c>
      <c r="B31" s="469">
        <v>18.374000000000002</v>
      </c>
      <c r="C31" s="469">
        <v>104.5</v>
      </c>
      <c r="D31" s="468">
        <v>16.422999047490762</v>
      </c>
      <c r="E31" s="468">
        <v>16.989999999999998</v>
      </c>
      <c r="F31" s="468">
        <v>16.989999999999998</v>
      </c>
      <c r="G31" s="479">
        <v>98.099998474121094</v>
      </c>
      <c r="H31" s="468">
        <v>16.667188720703098</v>
      </c>
    </row>
    <row r="32" spans="1:8" ht="13">
      <c r="A32" s="478" t="s">
        <v>222</v>
      </c>
      <c r="B32" s="469">
        <v>19.974</v>
      </c>
      <c r="C32" s="469">
        <v>111.2</v>
      </c>
      <c r="D32" s="468">
        <v>17.475956881157636</v>
      </c>
      <c r="E32" s="468">
        <v>18.440000000000001</v>
      </c>
      <c r="F32" s="468">
        <v>18.440000000000001</v>
      </c>
      <c r="G32" s="479">
        <v>98.099998474121094</v>
      </c>
      <c r="H32" s="468">
        <v>18.089638671875001</v>
      </c>
    </row>
    <row r="33" spans="1:8" ht="13">
      <c r="A33" s="478" t="s">
        <v>221</v>
      </c>
      <c r="B33" s="469">
        <v>20.122</v>
      </c>
      <c r="C33" s="469">
        <v>112.4</v>
      </c>
      <c r="D33" s="468">
        <v>17.664546343903943</v>
      </c>
      <c r="E33" s="468">
        <v>18.55</v>
      </c>
      <c r="F33" s="468">
        <v>18.55</v>
      </c>
      <c r="G33" s="479">
        <v>98.099998474121094</v>
      </c>
      <c r="H33" s="468">
        <v>18.197550048828099</v>
      </c>
    </row>
    <row r="34" spans="1:8" ht="13">
      <c r="A34" s="478" t="s">
        <v>220</v>
      </c>
      <c r="B34" s="469">
        <v>19.506</v>
      </c>
      <c r="C34" s="469">
        <v>107.8</v>
      </c>
      <c r="D34" s="468">
        <v>16.941620070043101</v>
      </c>
      <c r="E34" s="468">
        <v>17.78</v>
      </c>
      <c r="F34" s="468">
        <v>17.78</v>
      </c>
      <c r="G34" s="479">
        <v>98.099998474121094</v>
      </c>
      <c r="H34" s="468">
        <v>17.442180175781299</v>
      </c>
    </row>
    <row r="35" spans="1:8" ht="13">
      <c r="A35" s="478" t="s">
        <v>219</v>
      </c>
      <c r="B35" s="469">
        <v>18.137999999999998</v>
      </c>
      <c r="C35" s="469">
        <v>99.8</v>
      </c>
      <c r="D35" s="468">
        <v>15.684356985067733</v>
      </c>
      <c r="E35" s="468">
        <v>16.32</v>
      </c>
      <c r="F35" s="468">
        <v>16.32</v>
      </c>
      <c r="G35" s="479">
        <v>95.800003051757798</v>
      </c>
      <c r="H35" s="468">
        <v>15.634560546875001</v>
      </c>
    </row>
    <row r="36" spans="1:8" ht="13">
      <c r="A36" s="478" t="s">
        <v>217</v>
      </c>
      <c r="B36" s="469">
        <v>20.524000000000001</v>
      </c>
      <c r="C36" s="469">
        <v>112.3</v>
      </c>
      <c r="D36" s="468">
        <v>17.648830555341746</v>
      </c>
      <c r="E36" s="468">
        <v>18.600000000000001</v>
      </c>
      <c r="F36" s="468">
        <v>18.600000000000001</v>
      </c>
      <c r="G36" s="479">
        <v>95.800003051757798</v>
      </c>
      <c r="H36" s="468">
        <v>17.818800048828098</v>
      </c>
    </row>
    <row r="37" spans="1:8" ht="13">
      <c r="A37" s="478" t="s">
        <v>216</v>
      </c>
      <c r="B37" s="469">
        <v>20.646000000000001</v>
      </c>
      <c r="C37" s="469">
        <v>113</v>
      </c>
      <c r="D37" s="468">
        <v>17.758841075277093</v>
      </c>
      <c r="E37" s="468">
        <v>17.77</v>
      </c>
      <c r="F37" s="468">
        <v>17.77</v>
      </c>
      <c r="G37" s="479">
        <v>95.800003051757798</v>
      </c>
      <c r="H37" s="468">
        <v>17.023660888671898</v>
      </c>
    </row>
    <row r="38" spans="1:8" ht="13">
      <c r="A38" s="478" t="s">
        <v>215</v>
      </c>
      <c r="B38" s="469">
        <v>19.687999999999999</v>
      </c>
      <c r="C38" s="469">
        <v>107.7</v>
      </c>
      <c r="D38" s="468">
        <v>16.925904281480911</v>
      </c>
      <c r="E38" s="468">
        <v>17.649999999999999</v>
      </c>
      <c r="F38" s="468">
        <v>17.649999999999999</v>
      </c>
      <c r="G38" s="479">
        <v>95.800003051757798</v>
      </c>
      <c r="H38" s="468">
        <v>16.908699951171901</v>
      </c>
    </row>
    <row r="39" spans="1:8" ht="13">
      <c r="A39" s="478" t="s">
        <v>214</v>
      </c>
      <c r="B39" s="469"/>
      <c r="C39" s="469"/>
      <c r="D39" s="469"/>
      <c r="E39" s="468">
        <v>16.27</v>
      </c>
      <c r="F39" s="468">
        <v>16.27</v>
      </c>
      <c r="G39" s="479">
        <v>96.400001525878906</v>
      </c>
      <c r="H39" s="468">
        <v>15.684279785156299</v>
      </c>
    </row>
    <row r="40" spans="1:8" ht="13">
      <c r="A40" s="478" t="s">
        <v>212</v>
      </c>
      <c r="B40" s="469"/>
      <c r="C40" s="469"/>
      <c r="D40" s="469"/>
      <c r="E40" s="468">
        <v>17.079999999999998</v>
      </c>
      <c r="F40" s="468">
        <v>17.079999999999998</v>
      </c>
      <c r="G40" s="479">
        <v>96.400001525878906</v>
      </c>
      <c r="H40" s="468">
        <v>16.465120849609399</v>
      </c>
    </row>
    <row r="41" spans="1:8" ht="13">
      <c r="A41" s="478" t="s">
        <v>211</v>
      </c>
      <c r="B41" s="469"/>
      <c r="C41" s="469"/>
      <c r="D41" s="469"/>
      <c r="E41" s="468">
        <v>16.73</v>
      </c>
      <c r="F41" s="468">
        <v>16.73</v>
      </c>
      <c r="G41" s="479">
        <v>96.400001525878906</v>
      </c>
      <c r="H41" s="468">
        <v>16.1277197265625</v>
      </c>
    </row>
    <row r="42" spans="1:8" ht="13">
      <c r="A42" s="478" t="s">
        <v>210</v>
      </c>
      <c r="B42" s="469"/>
      <c r="C42" s="480"/>
      <c r="D42" s="469"/>
      <c r="E42" s="468">
        <v>15.51</v>
      </c>
      <c r="F42" s="468">
        <v>15.51</v>
      </c>
      <c r="G42" s="479">
        <v>96.400001525878906</v>
      </c>
      <c r="H42" s="468">
        <v>14.951640625</v>
      </c>
    </row>
    <row r="43" spans="1:8" ht="13">
      <c r="A43" s="478" t="s">
        <v>209</v>
      </c>
      <c r="B43" s="469"/>
      <c r="C43" s="469"/>
      <c r="D43" s="469"/>
      <c r="E43" s="468">
        <v>13.92</v>
      </c>
      <c r="F43" s="468">
        <v>13.92</v>
      </c>
      <c r="G43" s="479">
        <v>95.900001525878906</v>
      </c>
      <c r="H43" s="468">
        <v>13.3492797851563</v>
      </c>
    </row>
    <row r="44" spans="1:8" ht="13">
      <c r="A44" s="478" t="s">
        <v>207</v>
      </c>
      <c r="B44" s="469"/>
      <c r="C44" s="469"/>
      <c r="D44" s="469"/>
      <c r="E44" s="468">
        <v>15.02</v>
      </c>
      <c r="F44" s="468">
        <v>15.02</v>
      </c>
      <c r="G44" s="479">
        <v>95.900001525878906</v>
      </c>
      <c r="H44" s="468">
        <v>14.404179687499999</v>
      </c>
    </row>
    <row r="45" spans="1:8" ht="13">
      <c r="A45" s="478" t="s">
        <v>206</v>
      </c>
      <c r="B45" s="469"/>
      <c r="C45" s="469"/>
      <c r="D45" s="469"/>
      <c r="E45" s="468">
        <v>14.62</v>
      </c>
      <c r="F45" s="468">
        <v>14.62</v>
      </c>
      <c r="G45" s="479">
        <v>95.900001525878906</v>
      </c>
      <c r="H45" s="468">
        <v>14.020579833984399</v>
      </c>
    </row>
    <row r="46" spans="1:8" ht="13">
      <c r="A46" s="478" t="s">
        <v>205</v>
      </c>
      <c r="B46" s="469"/>
      <c r="C46" s="469"/>
      <c r="D46" s="469"/>
      <c r="E46" s="468">
        <v>13.26</v>
      </c>
      <c r="F46" s="468">
        <v>13.26</v>
      </c>
      <c r="G46" s="479">
        <v>95.900001525878906</v>
      </c>
      <c r="H46" s="468">
        <v>12.716340332031301</v>
      </c>
    </row>
    <row r="47" spans="1:8" ht="13">
      <c r="A47" s="478" t="s">
        <v>204</v>
      </c>
      <c r="B47" s="469"/>
      <c r="C47" s="469"/>
      <c r="D47" s="469"/>
      <c r="E47" s="468">
        <v>11.98</v>
      </c>
      <c r="F47" s="468">
        <v>11.98</v>
      </c>
      <c r="G47" s="479">
        <v>95.900001525878906</v>
      </c>
      <c r="H47" s="468">
        <v>11.4888208007813</v>
      </c>
    </row>
    <row r="48" spans="1:8" ht="13">
      <c r="A48" s="478" t="s">
        <v>202</v>
      </c>
      <c r="B48" s="469"/>
      <c r="C48" s="469"/>
      <c r="D48" s="469"/>
      <c r="E48" s="468">
        <v>12.64</v>
      </c>
      <c r="F48" s="468">
        <v>12.64</v>
      </c>
      <c r="G48" s="479">
        <v>95.900001525878906</v>
      </c>
      <c r="H48" s="468">
        <v>12.121760253906301</v>
      </c>
    </row>
    <row r="49" spans="1:8" ht="13">
      <c r="A49" s="478" t="s">
        <v>201</v>
      </c>
      <c r="B49" s="469"/>
      <c r="C49" s="469"/>
      <c r="D49" s="469"/>
      <c r="E49" s="468">
        <v>12.71</v>
      </c>
      <c r="F49" s="468">
        <v>12.71</v>
      </c>
      <c r="G49" s="479">
        <v>95.900001525878906</v>
      </c>
      <c r="H49" s="468">
        <v>12.1888903808594</v>
      </c>
    </row>
    <row r="50" spans="1:8" ht="13">
      <c r="A50" s="478" t="s">
        <v>200</v>
      </c>
      <c r="B50" s="469"/>
      <c r="C50" s="469"/>
      <c r="D50" s="469"/>
      <c r="E50" s="468">
        <v>12.46</v>
      </c>
      <c r="F50" s="468">
        <v>12.46</v>
      </c>
      <c r="G50" s="479">
        <v>95.900001525878906</v>
      </c>
      <c r="H50" s="468">
        <v>11.949139404296901</v>
      </c>
    </row>
    <row r="51" spans="1:8" ht="13">
      <c r="A51" s="478" t="s">
        <v>199</v>
      </c>
      <c r="B51" s="469"/>
      <c r="C51" s="469"/>
      <c r="D51" s="469"/>
      <c r="E51" s="468">
        <v>11.69</v>
      </c>
      <c r="F51" s="468">
        <v>11.69</v>
      </c>
      <c r="G51" s="479">
        <v>94.800003051757798</v>
      </c>
      <c r="H51" s="468">
        <v>11.0821203613281</v>
      </c>
    </row>
    <row r="52" spans="1:8" ht="13">
      <c r="A52" s="478" t="s">
        <v>197</v>
      </c>
      <c r="B52" s="469"/>
      <c r="C52" s="469"/>
      <c r="D52" s="469"/>
      <c r="E52" s="468">
        <v>12.89</v>
      </c>
      <c r="F52" s="468">
        <v>12.89</v>
      </c>
      <c r="G52" s="479">
        <v>94.800003051757798</v>
      </c>
      <c r="H52" s="468">
        <v>12.2197204589844</v>
      </c>
    </row>
    <row r="53" spans="1:8" ht="13">
      <c r="A53" s="478" t="s">
        <v>196</v>
      </c>
      <c r="B53" s="469"/>
      <c r="C53" s="469"/>
      <c r="D53" s="469"/>
      <c r="E53" s="468">
        <v>13.36</v>
      </c>
      <c r="F53" s="468">
        <v>13.36</v>
      </c>
      <c r="G53" s="479">
        <v>94.800003051757798</v>
      </c>
      <c r="H53" s="468">
        <v>12.665280761718799</v>
      </c>
    </row>
    <row r="54" spans="1:8" ht="13">
      <c r="A54" s="478" t="s">
        <v>195</v>
      </c>
      <c r="B54" s="469"/>
      <c r="C54" s="469"/>
      <c r="D54" s="469"/>
      <c r="E54" s="468">
        <v>13.31</v>
      </c>
      <c r="F54" s="468">
        <v>13.31</v>
      </c>
      <c r="G54" s="479">
        <v>94.800003051757798</v>
      </c>
      <c r="H54" s="468">
        <v>12.617880859374999</v>
      </c>
    </row>
    <row r="55" spans="1:8" ht="13">
      <c r="A55" s="478" t="s">
        <v>194</v>
      </c>
      <c r="B55" s="469"/>
      <c r="C55" s="469"/>
      <c r="D55" s="469"/>
      <c r="E55" s="468">
        <v>13.4</v>
      </c>
      <c r="F55" s="468">
        <v>13.4</v>
      </c>
      <c r="G55" s="479">
        <v>95</v>
      </c>
      <c r="H55" s="468">
        <v>12.73</v>
      </c>
    </row>
    <row r="56" spans="1:8" ht="13">
      <c r="A56" s="478" t="s">
        <v>192</v>
      </c>
      <c r="B56" s="469"/>
      <c r="C56" s="469"/>
      <c r="D56" s="469"/>
      <c r="E56" s="468">
        <v>14.83</v>
      </c>
      <c r="F56" s="468">
        <v>14.83</v>
      </c>
      <c r="G56" s="479">
        <v>95</v>
      </c>
      <c r="H56" s="468">
        <v>14.088499755859401</v>
      </c>
    </row>
    <row r="57" spans="1:8" ht="13">
      <c r="A57" s="478" t="s">
        <v>191</v>
      </c>
      <c r="B57" s="469"/>
      <c r="C57" s="469"/>
      <c r="D57" s="469"/>
      <c r="E57" s="468">
        <v>15.17</v>
      </c>
      <c r="F57" s="468">
        <v>15.17</v>
      </c>
      <c r="G57" s="479">
        <v>95</v>
      </c>
      <c r="H57" s="468">
        <v>14.411500244140599</v>
      </c>
    </row>
    <row r="58" spans="1:8" ht="13">
      <c r="A58" s="478" t="s">
        <v>190</v>
      </c>
      <c r="B58" s="469"/>
      <c r="C58" s="469"/>
      <c r="D58" s="469"/>
      <c r="E58" s="468">
        <v>14.99</v>
      </c>
      <c r="F58" s="468">
        <v>14.99</v>
      </c>
      <c r="G58" s="479">
        <v>95</v>
      </c>
      <c r="H58" s="468">
        <v>14.240500488281301</v>
      </c>
    </row>
    <row r="59" spans="1:8" ht="13">
      <c r="A59" s="478" t="s">
        <v>189</v>
      </c>
      <c r="B59" s="469"/>
      <c r="C59" s="469"/>
      <c r="D59" s="469"/>
      <c r="E59" s="468">
        <v>14.45</v>
      </c>
      <c r="F59" s="468">
        <v>14.45</v>
      </c>
      <c r="G59" s="479">
        <v>96.800003051757798</v>
      </c>
      <c r="H59" s="468">
        <v>13.9876000976563</v>
      </c>
    </row>
    <row r="60" spans="1:8" ht="13">
      <c r="A60" s="478" t="s">
        <v>187</v>
      </c>
      <c r="B60" s="469"/>
      <c r="C60" s="469"/>
      <c r="D60" s="469"/>
      <c r="E60" s="468">
        <v>15.91</v>
      </c>
      <c r="F60" s="468">
        <v>15.91</v>
      </c>
      <c r="G60" s="479">
        <v>96.800003051757798</v>
      </c>
      <c r="H60" s="468">
        <v>15.4008813476563</v>
      </c>
    </row>
    <row r="61" spans="1:8" ht="13">
      <c r="A61" s="478" t="s">
        <v>186</v>
      </c>
      <c r="B61" s="469"/>
      <c r="C61" s="469"/>
      <c r="D61" s="469"/>
      <c r="E61" s="468">
        <v>16.37</v>
      </c>
      <c r="F61" s="468">
        <v>16.37</v>
      </c>
      <c r="G61" s="479">
        <v>96.800003051757798</v>
      </c>
      <c r="H61" s="468">
        <v>15.8461608886719</v>
      </c>
    </row>
    <row r="62" spans="1:8" ht="13">
      <c r="A62" s="478" t="s">
        <v>185</v>
      </c>
      <c r="B62" s="469"/>
      <c r="C62" s="469"/>
      <c r="D62" s="469"/>
      <c r="E62" s="468">
        <v>15.97</v>
      </c>
      <c r="F62" s="468">
        <v>15.97</v>
      </c>
      <c r="G62" s="479">
        <v>96.800003051757798</v>
      </c>
      <c r="H62" s="468">
        <v>15.4589611816406</v>
      </c>
    </row>
    <row r="63" spans="1:8" ht="13">
      <c r="A63" s="478" t="s">
        <v>184</v>
      </c>
      <c r="B63" s="469"/>
      <c r="C63" s="469"/>
      <c r="D63" s="469"/>
      <c r="E63" s="468">
        <v>15.68</v>
      </c>
      <c r="F63" s="468">
        <v>15.68</v>
      </c>
      <c r="G63" s="479">
        <v>97.699996948242202</v>
      </c>
      <c r="H63" s="468">
        <v>15.3193591308594</v>
      </c>
    </row>
    <row r="64" spans="1:8" ht="13">
      <c r="A64" s="478" t="s">
        <v>182</v>
      </c>
      <c r="B64" s="469"/>
      <c r="C64" s="469"/>
      <c r="D64" s="469"/>
      <c r="E64" s="468">
        <v>17.260000000000002</v>
      </c>
      <c r="F64" s="468">
        <v>17.260000000000002</v>
      </c>
      <c r="G64" s="479">
        <v>97.699996948242202</v>
      </c>
      <c r="H64" s="468">
        <v>16.863018798828101</v>
      </c>
    </row>
    <row r="65" spans="1:8" ht="13">
      <c r="A65" s="478" t="s">
        <v>181</v>
      </c>
      <c r="B65" s="469"/>
      <c r="C65" s="469"/>
      <c r="D65" s="469"/>
      <c r="E65" s="468">
        <v>17.79</v>
      </c>
      <c r="F65" s="468">
        <v>17.79</v>
      </c>
      <c r="G65" s="479">
        <v>97.699996948242202</v>
      </c>
      <c r="H65" s="468">
        <v>17.380830078125001</v>
      </c>
    </row>
    <row r="66" spans="1:8" ht="13">
      <c r="A66" s="478" t="s">
        <v>180</v>
      </c>
      <c r="B66" s="469"/>
      <c r="C66" s="469"/>
      <c r="D66" s="469"/>
      <c r="E66" s="468">
        <v>17.37</v>
      </c>
      <c r="F66" s="468">
        <v>17.37</v>
      </c>
      <c r="G66" s="479">
        <v>97.699996948242202</v>
      </c>
      <c r="H66" s="468">
        <v>16.9704895019531</v>
      </c>
    </row>
    <row r="67" spans="1:8" ht="13">
      <c r="A67" s="478" t="s">
        <v>179</v>
      </c>
      <c r="B67" s="469"/>
      <c r="C67" s="469"/>
      <c r="D67" s="469"/>
      <c r="E67" s="468">
        <v>16.97</v>
      </c>
      <c r="F67" s="468">
        <v>16.97</v>
      </c>
      <c r="G67" s="479">
        <v>99.199996948242202</v>
      </c>
      <c r="H67" s="468">
        <v>16.8342395019531</v>
      </c>
    </row>
    <row r="68" spans="1:8" ht="13">
      <c r="A68" s="478" t="s">
        <v>177</v>
      </c>
      <c r="B68" s="469"/>
      <c r="C68" s="469"/>
      <c r="D68" s="469"/>
      <c r="E68" s="468">
        <v>18.64</v>
      </c>
      <c r="F68" s="468">
        <v>18.64</v>
      </c>
      <c r="G68" s="479">
        <v>99.199996948242202</v>
      </c>
      <c r="H68" s="468">
        <v>18.490880126953101</v>
      </c>
    </row>
    <row r="69" spans="1:8" ht="13">
      <c r="A69" s="478" t="s">
        <v>176</v>
      </c>
      <c r="B69" s="469"/>
      <c r="C69" s="469"/>
      <c r="D69" s="469"/>
      <c r="E69" s="468">
        <v>19.059999999999999</v>
      </c>
      <c r="F69" s="468">
        <v>19.059999999999999</v>
      </c>
      <c r="G69" s="479">
        <v>99.199996948242202</v>
      </c>
      <c r="H69" s="468">
        <v>18.907518310546902</v>
      </c>
    </row>
    <row r="70" spans="1:8" ht="13">
      <c r="A70" s="478" t="s">
        <v>175</v>
      </c>
      <c r="B70" s="469"/>
      <c r="C70" s="469"/>
      <c r="D70" s="469"/>
      <c r="E70" s="468">
        <v>18.690000000000001</v>
      </c>
      <c r="F70" s="468">
        <v>18.690000000000001</v>
      </c>
      <c r="G70" s="479">
        <v>99.199996948242202</v>
      </c>
      <c r="H70" s="468">
        <v>18.540479736328098</v>
      </c>
    </row>
    <row r="71" spans="1:8" ht="13">
      <c r="A71" s="478" t="s">
        <v>174</v>
      </c>
      <c r="B71" s="469"/>
      <c r="C71" s="469"/>
      <c r="D71" s="469"/>
      <c r="E71" s="468">
        <v>18.329999999999998</v>
      </c>
      <c r="F71" s="468">
        <v>18.329999999999998</v>
      </c>
      <c r="G71" s="469">
        <v>100</v>
      </c>
      <c r="H71" s="468">
        <v>18.329999999999998</v>
      </c>
    </row>
    <row r="72" spans="1:8" ht="13">
      <c r="A72" s="478" t="s">
        <v>172</v>
      </c>
      <c r="B72" s="469"/>
      <c r="C72" s="469"/>
      <c r="D72" s="469"/>
      <c r="E72" s="468">
        <v>19.71</v>
      </c>
      <c r="F72" s="468">
        <v>19.71</v>
      </c>
      <c r="G72" s="469">
        <v>100</v>
      </c>
      <c r="H72" s="468">
        <v>19.71</v>
      </c>
    </row>
    <row r="73" spans="1:8" ht="13">
      <c r="A73" s="478" t="s">
        <v>171</v>
      </c>
      <c r="B73" s="469"/>
      <c r="C73" s="469"/>
      <c r="D73" s="469"/>
      <c r="E73" s="468">
        <v>20.2</v>
      </c>
      <c r="F73" s="468">
        <v>20.2</v>
      </c>
      <c r="G73" s="469">
        <v>100</v>
      </c>
      <c r="H73" s="468">
        <v>20.2</v>
      </c>
    </row>
    <row r="74" spans="1:8" ht="13">
      <c r="A74" s="478" t="s">
        <v>170</v>
      </c>
      <c r="B74" s="469"/>
      <c r="C74" s="469"/>
      <c r="D74" s="469"/>
      <c r="E74" s="468">
        <v>19.91</v>
      </c>
      <c r="F74" s="468">
        <v>19.91</v>
      </c>
      <c r="G74" s="469">
        <v>100</v>
      </c>
      <c r="H74" s="468">
        <v>19.91</v>
      </c>
    </row>
    <row r="75" spans="1:8" ht="13">
      <c r="A75" s="478" t="s">
        <v>168</v>
      </c>
      <c r="B75" s="477"/>
      <c r="C75" s="477"/>
      <c r="D75" s="477"/>
      <c r="E75" s="476">
        <v>19.64</v>
      </c>
      <c r="F75" s="476">
        <v>19.64</v>
      </c>
      <c r="G75" s="477">
        <v>100</v>
      </c>
      <c r="H75" s="476">
        <v>19.64</v>
      </c>
    </row>
    <row r="76" spans="1:8" ht="14" thickBot="1">
      <c r="A76" s="475"/>
      <c r="B76" s="474"/>
      <c r="C76" s="474"/>
      <c r="D76" s="474"/>
      <c r="E76" s="473"/>
      <c r="F76" s="473"/>
      <c r="G76" s="474"/>
      <c r="H76" s="473"/>
    </row>
    <row r="77" spans="1:8" ht="14" thickTop="1">
      <c r="A77" s="472"/>
      <c r="B77" s="469"/>
      <c r="C77" s="469"/>
      <c r="D77" s="469"/>
      <c r="E77" s="468"/>
      <c r="F77" s="468"/>
      <c r="G77" s="469"/>
      <c r="H77" s="468"/>
    </row>
    <row r="78" spans="1:8" ht="13">
      <c r="A78" s="471"/>
      <c r="B78" s="469"/>
      <c r="C78" s="469"/>
      <c r="D78" s="469"/>
      <c r="E78" s="468"/>
      <c r="F78" s="468"/>
      <c r="G78" s="469"/>
      <c r="H78" s="468"/>
    </row>
    <row r="79" spans="1:8" ht="14">
      <c r="A79" s="470"/>
      <c r="B79" s="469"/>
      <c r="C79" s="469"/>
      <c r="D79" s="469"/>
      <c r="E79" s="468"/>
      <c r="F79" s="468"/>
      <c r="G79" s="469"/>
      <c r="H79" s="468"/>
    </row>
    <row r="80" spans="1:8" ht="14">
      <c r="A80" s="470"/>
      <c r="B80" s="469"/>
      <c r="C80" s="469"/>
      <c r="D80" s="469"/>
      <c r="E80" s="469"/>
      <c r="F80" s="468"/>
      <c r="G80" s="469"/>
      <c r="H80" s="468"/>
    </row>
  </sheetData>
  <sheetProtection sheet="1" objects="1" scenarios="1"/>
  <pageMargins left="0.75" right="0.75" top="1" bottom="1" header="0.4921259845" footer="0.492125984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baseColWidth="10" defaultRowHeight="12" x14ac:dyDescent="0"/>
  <cols>
    <col min="1" max="16384" width="10.83203125" style="467"/>
  </cols>
  <sheetData/>
  <sheetProtection sheet="1" objects="1" scenarios="1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3" sqref="C43"/>
    </sheetView>
  </sheetViews>
  <sheetFormatPr baseColWidth="10" defaultRowHeight="12" x14ac:dyDescent="0"/>
  <cols>
    <col min="1" max="16384" width="10.83203125" style="467"/>
  </cols>
  <sheetData/>
  <sheetProtection sheet="1" objects="1" scenarios="1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M25" sqref="M25"/>
    </sheetView>
  </sheetViews>
  <sheetFormatPr baseColWidth="10" defaultRowHeight="12" x14ac:dyDescent="0"/>
  <cols>
    <col min="1" max="16384" width="10.83203125" style="467"/>
  </cols>
  <sheetData>
    <row r="1" spans="1:18">
      <c r="A1" s="520" t="s">
        <v>835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</row>
    <row r="2" spans="1:18">
      <c r="A2" s="521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</row>
    <row r="3" spans="1:18">
      <c r="A3" s="520" t="s">
        <v>834</v>
      </c>
      <c r="B3" s="510"/>
      <c r="C3" s="510"/>
      <c r="D3" s="510" t="s">
        <v>955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</row>
    <row r="4" spans="1:18">
      <c r="A4" s="518"/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</row>
    <row r="5" spans="1:18" s="541" customFormat="1" ht="22">
      <c r="A5" s="538"/>
      <c r="B5" s="539" t="s">
        <v>833</v>
      </c>
      <c r="C5" s="539" t="s">
        <v>832</v>
      </c>
      <c r="D5" s="539" t="s">
        <v>831</v>
      </c>
      <c r="E5" s="539" t="s">
        <v>830</v>
      </c>
      <c r="F5" s="539" t="s">
        <v>829</v>
      </c>
      <c r="G5" s="539" t="s">
        <v>828</v>
      </c>
      <c r="H5" s="540" t="s">
        <v>827</v>
      </c>
      <c r="I5" s="539" t="s">
        <v>826</v>
      </c>
      <c r="J5" s="539" t="s">
        <v>825</v>
      </c>
      <c r="K5" s="539" t="s">
        <v>824</v>
      </c>
      <c r="L5" s="539" t="s">
        <v>823</v>
      </c>
      <c r="M5" s="539" t="s">
        <v>822</v>
      </c>
      <c r="N5" s="539" t="s">
        <v>821</v>
      </c>
      <c r="O5" s="539" t="s">
        <v>820</v>
      </c>
      <c r="P5" s="539" t="s">
        <v>819</v>
      </c>
    </row>
    <row r="6" spans="1:18" ht="13" thickBot="1">
      <c r="A6" s="516"/>
      <c r="B6" s="515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5"/>
      <c r="P6" s="514"/>
    </row>
    <row r="7" spans="1:18" ht="14" thickTop="1" thickBot="1">
      <c r="A7" s="519"/>
      <c r="B7" s="513" t="s">
        <v>818</v>
      </c>
      <c r="C7" s="513" t="s">
        <v>817</v>
      </c>
      <c r="D7" s="513" t="s">
        <v>816</v>
      </c>
      <c r="E7" s="512" t="s">
        <v>815</v>
      </c>
      <c r="F7" s="512" t="s">
        <v>814</v>
      </c>
      <c r="G7" s="512" t="s">
        <v>813</v>
      </c>
      <c r="H7" s="511" t="s">
        <v>812</v>
      </c>
      <c r="I7" s="511" t="s">
        <v>811</v>
      </c>
      <c r="J7" s="511" t="s">
        <v>810</v>
      </c>
      <c r="K7" s="512" t="s">
        <v>809</v>
      </c>
      <c r="L7" s="512" t="s">
        <v>808</v>
      </c>
      <c r="M7" s="512" t="s">
        <v>807</v>
      </c>
      <c r="N7" s="512" t="s">
        <v>806</v>
      </c>
      <c r="O7" s="511" t="s">
        <v>805</v>
      </c>
      <c r="P7" s="511" t="s">
        <v>804</v>
      </c>
    </row>
    <row r="8" spans="1:18" ht="13" thickTop="1">
      <c r="A8" s="518"/>
      <c r="B8" s="510"/>
      <c r="C8" s="517"/>
      <c r="D8" s="517"/>
      <c r="E8" s="510"/>
      <c r="F8" s="510"/>
      <c r="G8" s="510"/>
      <c r="H8" s="510"/>
      <c r="I8" s="510"/>
      <c r="J8" s="510"/>
      <c r="K8" s="510"/>
      <c r="L8" s="510"/>
      <c r="M8" s="510"/>
      <c r="N8" s="510"/>
      <c r="O8" s="510"/>
      <c r="P8" s="517"/>
    </row>
    <row r="9" spans="1:18">
      <c r="A9" s="130" t="s">
        <v>239</v>
      </c>
      <c r="B9" s="509">
        <v>9.1641584394524518</v>
      </c>
      <c r="C9" s="508">
        <v>10.314243295706982</v>
      </c>
      <c r="D9" s="509">
        <v>13.106545456189663</v>
      </c>
      <c r="E9" s="508">
        <v>202.3</v>
      </c>
      <c r="F9" s="508">
        <v>138.1</v>
      </c>
      <c r="G9" s="508">
        <v>5.4304796786302134</v>
      </c>
      <c r="H9" s="508">
        <v>8.1066666666666674</v>
      </c>
      <c r="I9" s="508">
        <v>3.2955028510445317</v>
      </c>
      <c r="J9" s="508">
        <v>120.3</v>
      </c>
      <c r="K9" s="508">
        <v>125.56666666666666</v>
      </c>
      <c r="L9" s="508">
        <v>4479</v>
      </c>
      <c r="M9" s="508">
        <v>3.75</v>
      </c>
      <c r="N9" s="508">
        <v>152.5</v>
      </c>
      <c r="O9" s="508">
        <v>227.36600000000001</v>
      </c>
      <c r="P9" s="508">
        <v>106.1639344262295</v>
      </c>
      <c r="R9" s="467">
        <f>O9*F9/100</f>
        <v>313.99244600000003</v>
      </c>
    </row>
    <row r="10" spans="1:18">
      <c r="A10" s="130" t="s">
        <v>237</v>
      </c>
      <c r="B10" s="509">
        <v>9.3349277090567124</v>
      </c>
      <c r="C10" s="508">
        <v>10.172047777133832</v>
      </c>
      <c r="D10" s="509">
        <v>12.854073989050841</v>
      </c>
      <c r="E10" s="508">
        <v>9.6999999999999993</v>
      </c>
      <c r="F10" s="508">
        <v>139</v>
      </c>
      <c r="G10" s="508">
        <v>5.7196236757132359</v>
      </c>
      <c r="H10" s="508">
        <v>5.51</v>
      </c>
      <c r="I10" s="508">
        <v>3.2689199759881955</v>
      </c>
      <c r="J10" s="508">
        <v>99.8</v>
      </c>
      <c r="K10" s="508">
        <v>99.466666666666683</v>
      </c>
      <c r="L10" s="508">
        <v>4775</v>
      </c>
      <c r="M10" s="508">
        <v>3.92</v>
      </c>
      <c r="N10" s="508">
        <v>156.19999999999999</v>
      </c>
      <c r="O10" s="508">
        <v>227.98956798272167</v>
      </c>
      <c r="P10" s="508">
        <v>96.670934699103711</v>
      </c>
      <c r="R10" s="467">
        <f t="shared" ref="R10:R41" si="0">O10*F10/100</f>
        <v>316.90549949598312</v>
      </c>
    </row>
    <row r="11" spans="1:18">
      <c r="A11" s="130" t="s">
        <v>236</v>
      </c>
      <c r="B11" s="509">
        <v>9.5876662280710168</v>
      </c>
      <c r="C11" s="508">
        <v>9.9229520300632768</v>
      </c>
      <c r="D11" s="509">
        <v>12.411798667352913</v>
      </c>
      <c r="E11" s="508">
        <v>48.8</v>
      </c>
      <c r="F11" s="508">
        <v>146.30000000000001</v>
      </c>
      <c r="G11" s="508">
        <v>5.2356217675525238</v>
      </c>
      <c r="H11" s="508">
        <v>7.58</v>
      </c>
      <c r="I11" s="508">
        <v>3.4379936485754072</v>
      </c>
      <c r="J11" s="508">
        <v>83.1</v>
      </c>
      <c r="K11" s="508">
        <v>82.033333333333331</v>
      </c>
      <c r="L11" s="508">
        <v>5056</v>
      </c>
      <c r="M11" s="508">
        <v>4.04</v>
      </c>
      <c r="N11" s="508">
        <v>158.80000000000001</v>
      </c>
      <c r="O11" s="508">
        <v>228.72623684249223</v>
      </c>
      <c r="P11" s="508">
        <v>95.654911838790937</v>
      </c>
      <c r="R11" s="467">
        <f t="shared" si="0"/>
        <v>334.62648450056616</v>
      </c>
    </row>
    <row r="12" spans="1:18">
      <c r="A12" s="130" t="s">
        <v>235</v>
      </c>
      <c r="B12" s="509">
        <v>9.5876662280710168</v>
      </c>
      <c r="C12" s="508">
        <v>9.788784953913364</v>
      </c>
      <c r="D12" s="509">
        <v>12.173581887406582</v>
      </c>
      <c r="E12" s="508">
        <v>19.2</v>
      </c>
      <c r="F12" s="508">
        <v>143.9</v>
      </c>
      <c r="G12" s="508">
        <v>4.651048034319456</v>
      </c>
      <c r="H12" s="508">
        <v>6.873333333333334</v>
      </c>
      <c r="I12" s="508">
        <v>3.4893174900845088</v>
      </c>
      <c r="J12" s="508">
        <v>63.666666666666664</v>
      </c>
      <c r="K12" s="508">
        <v>72.366666666666674</v>
      </c>
      <c r="L12" s="508">
        <v>5181</v>
      </c>
      <c r="M12" s="508">
        <v>4.38</v>
      </c>
      <c r="N12" s="508">
        <v>159.4</v>
      </c>
      <c r="O12" s="508">
        <v>229.26468233174413</v>
      </c>
      <c r="P12" s="508">
        <v>92.910915934755337</v>
      </c>
      <c r="R12" s="467">
        <f t="shared" si="0"/>
        <v>329.91187787537979</v>
      </c>
    </row>
    <row r="13" spans="1:18">
      <c r="A13" s="130" t="s">
        <v>234</v>
      </c>
      <c r="B13" s="509">
        <v>9.3572684893663922</v>
      </c>
      <c r="C13" s="508">
        <v>10.581358295213679</v>
      </c>
      <c r="D13" s="509">
        <v>12.590816184157221</v>
      </c>
      <c r="E13" s="508">
        <v>280.3</v>
      </c>
      <c r="F13" s="508">
        <v>140.6</v>
      </c>
      <c r="G13" s="508">
        <v>4.3041555900690138</v>
      </c>
      <c r="H13" s="508">
        <v>5.5766666666666671</v>
      </c>
      <c r="I13" s="508">
        <v>3.8009311758871975</v>
      </c>
      <c r="J13" s="508">
        <v>61.3</v>
      </c>
      <c r="K13" s="508">
        <v>82.433333333333337</v>
      </c>
      <c r="L13" s="508">
        <v>5050</v>
      </c>
      <c r="M13" s="508">
        <v>4.34</v>
      </c>
      <c r="N13" s="508">
        <v>157</v>
      </c>
      <c r="O13" s="508">
        <v>229.56547166577778</v>
      </c>
      <c r="P13" s="508">
        <v>86.942675159235662</v>
      </c>
      <c r="R13" s="467">
        <f t="shared" si="0"/>
        <v>322.76905316208354</v>
      </c>
    </row>
    <row r="14" spans="1:18">
      <c r="A14" s="130" t="s">
        <v>232</v>
      </c>
      <c r="B14" s="509">
        <v>9.2274838444671534</v>
      </c>
      <c r="C14" s="508">
        <v>10.355173459476623</v>
      </c>
      <c r="D14" s="509">
        <v>12.189219721089286</v>
      </c>
      <c r="E14" s="508">
        <v>269.10000000000002</v>
      </c>
      <c r="F14" s="508">
        <v>141.1</v>
      </c>
      <c r="G14" s="508">
        <v>4.957872453039327</v>
      </c>
      <c r="H14" s="508">
        <v>4.6900000000000004</v>
      </c>
      <c r="I14" s="508">
        <v>3.821684510230051</v>
      </c>
      <c r="J14" s="508">
        <v>59.4</v>
      </c>
      <c r="K14" s="508">
        <v>97.133333333333326</v>
      </c>
      <c r="L14" s="508">
        <v>5169</v>
      </c>
      <c r="M14" s="508">
        <v>4.13</v>
      </c>
      <c r="N14" s="508">
        <v>152.19999999999999</v>
      </c>
      <c r="O14" s="508">
        <v>229.90670742834567</v>
      </c>
      <c r="P14" s="508">
        <v>85.08541392904074</v>
      </c>
      <c r="R14" s="467">
        <f t="shared" si="0"/>
        <v>324.39836418139572</v>
      </c>
    </row>
    <row r="15" spans="1:18">
      <c r="A15" s="130" t="s">
        <v>231</v>
      </c>
      <c r="B15" s="509">
        <v>9.5826839252440141</v>
      </c>
      <c r="C15" s="508">
        <v>10.497373506770932</v>
      </c>
      <c r="D15" s="509">
        <v>12.44169922907839</v>
      </c>
      <c r="E15" s="508">
        <v>176.3</v>
      </c>
      <c r="F15" s="508">
        <v>142.9</v>
      </c>
      <c r="G15" s="508">
        <v>4.7567288028946155</v>
      </c>
      <c r="H15" s="508">
        <v>4.6766666666666667</v>
      </c>
      <c r="I15" s="508">
        <v>4.1255719644326314</v>
      </c>
      <c r="J15" s="508">
        <v>77.2</v>
      </c>
      <c r="K15" s="508">
        <v>116.83333333333333</v>
      </c>
      <c r="L15" s="508">
        <v>5460</v>
      </c>
      <c r="M15" s="508">
        <v>4.34</v>
      </c>
      <c r="N15" s="508">
        <v>145.30000000000001</v>
      </c>
      <c r="O15" s="508">
        <v>230.50899237218974</v>
      </c>
      <c r="P15" s="508">
        <v>89.332415691672395</v>
      </c>
      <c r="R15" s="467">
        <f t="shared" si="0"/>
        <v>329.39735009985918</v>
      </c>
    </row>
    <row r="16" spans="1:18">
      <c r="A16" s="130" t="s">
        <v>230</v>
      </c>
      <c r="B16" s="509">
        <v>10.313576399150246</v>
      </c>
      <c r="C16" s="508">
        <v>11.300272334322299</v>
      </c>
      <c r="D16" s="509">
        <v>13.867264865675104</v>
      </c>
      <c r="E16" s="508">
        <v>36.200000000000003</v>
      </c>
      <c r="F16" s="508">
        <v>144</v>
      </c>
      <c r="G16" s="508">
        <v>5.9824479209639509</v>
      </c>
      <c r="H16" s="508">
        <v>4.7333333333333334</v>
      </c>
      <c r="I16" s="508">
        <v>4.2424496617193466</v>
      </c>
      <c r="J16" s="508">
        <v>83.833333333333329</v>
      </c>
      <c r="K16" s="508">
        <v>139.5</v>
      </c>
      <c r="L16" s="508">
        <v>5780</v>
      </c>
      <c r="M16" s="508">
        <v>4.54</v>
      </c>
      <c r="N16" s="508">
        <v>143.19999999999999</v>
      </c>
      <c r="O16" s="508">
        <v>231.02741808821028</v>
      </c>
      <c r="P16" s="508">
        <v>87.569832402234638</v>
      </c>
      <c r="R16" s="467">
        <f t="shared" si="0"/>
        <v>332.67948204702282</v>
      </c>
    </row>
    <row r="17" spans="1:18">
      <c r="A17" s="130" t="s">
        <v>229</v>
      </c>
      <c r="B17" s="509">
        <v>10.053912179190917</v>
      </c>
      <c r="C17" s="508">
        <v>10.854440416059306</v>
      </c>
      <c r="D17" s="509">
        <v>13.437959474911711</v>
      </c>
      <c r="E17" s="508">
        <v>-2.1000000000000227</v>
      </c>
      <c r="F17" s="508">
        <v>145.5</v>
      </c>
      <c r="G17" s="508">
        <v>6.5049439844672046</v>
      </c>
      <c r="H17" s="508">
        <v>4.34</v>
      </c>
      <c r="I17" s="508">
        <v>4.2164150019406348</v>
      </c>
      <c r="J17" s="508">
        <v>100.23333333333333</v>
      </c>
      <c r="K17" s="508">
        <v>167.56666666666666</v>
      </c>
      <c r="L17" s="508">
        <v>5185</v>
      </c>
      <c r="M17" s="508">
        <v>4.17</v>
      </c>
      <c r="N17" s="508">
        <v>141.69999999999999</v>
      </c>
      <c r="O17" s="508">
        <v>232.03591797581774</v>
      </c>
      <c r="P17" s="508">
        <v>88.849682427664078</v>
      </c>
      <c r="R17" s="467">
        <f t="shared" si="0"/>
        <v>337.6122606548148</v>
      </c>
    </row>
    <row r="18" spans="1:18">
      <c r="A18" s="130" t="s">
        <v>227</v>
      </c>
      <c r="B18" s="509">
        <v>10.44326611388863</v>
      </c>
      <c r="C18" s="508">
        <v>11.143678217524561</v>
      </c>
      <c r="D18" s="509">
        <v>13.951507952533907</v>
      </c>
      <c r="E18" s="508">
        <v>24.5</v>
      </c>
      <c r="F18" s="508">
        <v>147.1</v>
      </c>
      <c r="G18" s="508">
        <v>6.9575171972928063</v>
      </c>
      <c r="H18" s="508">
        <v>4.97</v>
      </c>
      <c r="I18" s="508">
        <v>4.0191888297235971</v>
      </c>
      <c r="J18" s="508">
        <v>116.23333333333335</v>
      </c>
      <c r="K18" s="508">
        <v>167.56666666666666</v>
      </c>
      <c r="L18" s="508">
        <v>5376</v>
      </c>
      <c r="M18" s="508">
        <v>4.17</v>
      </c>
      <c r="N18" s="508">
        <v>144.4</v>
      </c>
      <c r="O18" s="508">
        <v>232.85035268504811</v>
      </c>
      <c r="P18" s="508">
        <v>89.05817174515235</v>
      </c>
      <c r="R18" s="467">
        <f t="shared" si="0"/>
        <v>342.52286879970575</v>
      </c>
    </row>
    <row r="19" spans="1:18">
      <c r="A19" s="130" t="s">
        <v>226</v>
      </c>
      <c r="B19" s="509">
        <v>10.525235363298675</v>
      </c>
      <c r="C19" s="508">
        <v>11.433863773800386</v>
      </c>
      <c r="D19" s="509">
        <v>14.466739190976652</v>
      </c>
      <c r="E19" s="508">
        <v>-129.78695652173911</v>
      </c>
      <c r="F19" s="508">
        <v>148.1</v>
      </c>
      <c r="G19" s="508">
        <v>7.6992344072014296</v>
      </c>
      <c r="H19" s="508">
        <v>5.8766666666666678</v>
      </c>
      <c r="I19" s="508">
        <v>4.0515312053771817</v>
      </c>
      <c r="J19" s="508">
        <v>131.30000000000001</v>
      </c>
      <c r="K19" s="508">
        <v>156.53333333333333</v>
      </c>
      <c r="L19" s="508">
        <v>5660</v>
      </c>
      <c r="M19" s="508">
        <v>4.08</v>
      </c>
      <c r="N19" s="508">
        <v>148.69999999999999</v>
      </c>
      <c r="O19" s="508">
        <v>233.84262277771705</v>
      </c>
      <c r="P19" s="508">
        <v>90.181573638197719</v>
      </c>
      <c r="R19" s="467">
        <f t="shared" si="0"/>
        <v>346.32092433379898</v>
      </c>
    </row>
    <row r="20" spans="1:18">
      <c r="A20" s="130" t="s">
        <v>225</v>
      </c>
      <c r="B20" s="509">
        <v>10.593543071140378</v>
      </c>
      <c r="C20" s="508">
        <v>11.365182160777682</v>
      </c>
      <c r="D20" s="509">
        <v>14.344793381577725</v>
      </c>
      <c r="E20" s="508">
        <v>87.573671497584996</v>
      </c>
      <c r="F20" s="508">
        <v>150.80000000000001</v>
      </c>
      <c r="G20" s="508">
        <v>6.3038003343224931</v>
      </c>
      <c r="H20" s="508">
        <v>6.7733333333333334</v>
      </c>
      <c r="I20" s="508">
        <v>4.0775339021003978</v>
      </c>
      <c r="J20" s="508">
        <v>109.93333333333334</v>
      </c>
      <c r="K20" s="508">
        <v>140.36666666666667</v>
      </c>
      <c r="L20" s="508">
        <v>5852</v>
      </c>
      <c r="M20" s="508">
        <v>4</v>
      </c>
      <c r="N20" s="508">
        <v>154.4</v>
      </c>
      <c r="O20" s="508">
        <v>235.12805779386983</v>
      </c>
      <c r="P20" s="508">
        <v>88.665803108808291</v>
      </c>
      <c r="R20" s="467">
        <f t="shared" si="0"/>
        <v>354.57311115315571</v>
      </c>
    </row>
    <row r="21" spans="1:18">
      <c r="A21" s="130" t="s">
        <v>224</v>
      </c>
      <c r="B21" s="509">
        <v>11.146462430301021</v>
      </c>
      <c r="C21" s="508">
        <v>11.830290338717464</v>
      </c>
      <c r="D21" s="509">
        <v>14.69965758128385</v>
      </c>
      <c r="E21" s="508">
        <v>-137.68140096618362</v>
      </c>
      <c r="F21" s="508">
        <v>150.69999999999999</v>
      </c>
      <c r="G21" s="508">
        <v>6.6103344718987804</v>
      </c>
      <c r="H21" s="508">
        <v>6.3966666666666656</v>
      </c>
      <c r="I21" s="508">
        <v>4.1073637039119877</v>
      </c>
      <c r="J21" s="508">
        <v>110.9</v>
      </c>
      <c r="K21" s="508">
        <v>144.86666666666667</v>
      </c>
      <c r="L21" s="508">
        <v>5669</v>
      </c>
      <c r="M21" s="508">
        <v>4.04</v>
      </c>
      <c r="N21" s="508">
        <v>156.69999999999999</v>
      </c>
      <c r="O21" s="508">
        <v>235.84618400090557</v>
      </c>
      <c r="P21" s="508">
        <v>87.109125717932358</v>
      </c>
      <c r="R21" s="467">
        <f t="shared" si="0"/>
        <v>355.42019928936469</v>
      </c>
    </row>
    <row r="22" spans="1:18">
      <c r="A22" s="130" t="s">
        <v>222</v>
      </c>
      <c r="B22" s="509">
        <v>10.927877765207567</v>
      </c>
      <c r="C22" s="508">
        <v>11.796793330052649</v>
      </c>
      <c r="D22" s="509">
        <v>14.640182859385231</v>
      </c>
      <c r="E22" s="508">
        <v>-86.081317934783002</v>
      </c>
      <c r="F22" s="508">
        <v>150.4</v>
      </c>
      <c r="G22" s="508">
        <v>6.6983348188370915</v>
      </c>
      <c r="H22" s="508">
        <v>6.66</v>
      </c>
      <c r="I22" s="508">
        <v>3.9296629080187775</v>
      </c>
      <c r="J22" s="508">
        <v>101.6</v>
      </c>
      <c r="K22" s="508">
        <v>151.69999999999999</v>
      </c>
      <c r="L22" s="508">
        <v>5802</v>
      </c>
      <c r="M22" s="508">
        <v>4.54</v>
      </c>
      <c r="N22" s="508">
        <v>158.4</v>
      </c>
      <c r="O22" s="508">
        <v>236.82833149474013</v>
      </c>
      <c r="P22" s="508">
        <v>86.868686868686865</v>
      </c>
      <c r="R22" s="467">
        <f t="shared" si="0"/>
        <v>356.18981056808917</v>
      </c>
    </row>
    <row r="23" spans="1:18">
      <c r="A23" s="130" t="s">
        <v>221</v>
      </c>
      <c r="B23" s="509">
        <v>10.825416203445011</v>
      </c>
      <c r="C23" s="508">
        <v>11.754644354317646</v>
      </c>
      <c r="D23" s="509">
        <v>14.56534636770817</v>
      </c>
      <c r="E23" s="508">
        <v>-139.86440217391299</v>
      </c>
      <c r="F23" s="508">
        <v>152.69999999999999</v>
      </c>
      <c r="G23" s="508">
        <v>7.2703370739361155</v>
      </c>
      <c r="H23" s="508">
        <v>6.6933333333333325</v>
      </c>
      <c r="I23" s="508">
        <v>4.0036018532057298</v>
      </c>
      <c r="J23" s="508">
        <v>96.633333333333326</v>
      </c>
      <c r="K23" s="508">
        <v>149.4</v>
      </c>
      <c r="L23" s="508">
        <v>6040</v>
      </c>
      <c r="M23" s="508">
        <v>5.38</v>
      </c>
      <c r="N23" s="508">
        <v>159.5</v>
      </c>
      <c r="O23" s="508">
        <v>237.84093916496366</v>
      </c>
      <c r="P23" s="508">
        <v>84.639498432601883</v>
      </c>
      <c r="R23" s="467">
        <f t="shared" si="0"/>
        <v>363.18311410489952</v>
      </c>
    </row>
    <row r="24" spans="1:18">
      <c r="A24" s="130" t="s">
        <v>220</v>
      </c>
      <c r="B24" s="509">
        <v>10.8049238910925</v>
      </c>
      <c r="C24" s="508">
        <v>11.431059103925673</v>
      </c>
      <c r="D24" s="509">
        <v>13.990813191622758</v>
      </c>
      <c r="E24" s="508">
        <v>214.484069293478</v>
      </c>
      <c r="F24" s="508">
        <v>153</v>
      </c>
      <c r="G24" s="508">
        <v>5.7177595243816226</v>
      </c>
      <c r="H24" s="508">
        <v>6.39</v>
      </c>
      <c r="I24" s="508">
        <v>4.0409051645844283</v>
      </c>
      <c r="J24" s="508">
        <v>90.866666666666674</v>
      </c>
      <c r="K24" s="508">
        <v>147.73333333333332</v>
      </c>
      <c r="L24" s="508">
        <v>6234</v>
      </c>
      <c r="M24" s="508">
        <v>5.42</v>
      </c>
      <c r="N24" s="508">
        <v>159.80000000000001</v>
      </c>
      <c r="O24" s="508">
        <v>239.07839473691402</v>
      </c>
      <c r="P24" s="508">
        <v>82.352941176470594</v>
      </c>
      <c r="R24" s="467">
        <f t="shared" si="0"/>
        <v>365.78994394747843</v>
      </c>
    </row>
    <row r="25" spans="1:18">
      <c r="A25" s="130" t="s">
        <v>219</v>
      </c>
      <c r="B25" s="509">
        <v>10.641023560501203</v>
      </c>
      <c r="C25" s="508">
        <v>11.256116648369417</v>
      </c>
      <c r="D25" s="509">
        <v>13.689783506446481</v>
      </c>
      <c r="E25" s="508">
        <v>696.96165081521735</v>
      </c>
      <c r="F25" s="508">
        <v>154.80000000000001</v>
      </c>
      <c r="G25" s="508">
        <v>5.6038703728685455</v>
      </c>
      <c r="H25" s="508">
        <v>5.9733333333333327</v>
      </c>
      <c r="I25" s="508">
        <v>4.2390500633810406</v>
      </c>
      <c r="J25" s="508">
        <v>91.933333333333337</v>
      </c>
      <c r="K25" s="508">
        <v>143.13333333333333</v>
      </c>
      <c r="L25" s="508">
        <v>5933</v>
      </c>
      <c r="M25" s="508">
        <v>5.59</v>
      </c>
      <c r="N25" s="508">
        <v>158.30000000000001</v>
      </c>
      <c r="O25" s="508">
        <v>239.68561905079306</v>
      </c>
      <c r="P25" s="508">
        <v>83.259633607075173</v>
      </c>
      <c r="R25" s="467">
        <f t="shared" si="0"/>
        <v>371.03333829062774</v>
      </c>
    </row>
    <row r="26" spans="1:18">
      <c r="A26" s="130" t="s">
        <v>217</v>
      </c>
      <c r="B26" s="509">
        <v>10.688838955990395</v>
      </c>
      <c r="C26" s="508">
        <v>11.807324513369545</v>
      </c>
      <c r="D26" s="509">
        <v>14.668465955594474</v>
      </c>
      <c r="E26" s="508">
        <v>-72.828002610966095</v>
      </c>
      <c r="F26" s="508">
        <v>153.1</v>
      </c>
      <c r="G26" s="508">
        <v>7.1815908786911269</v>
      </c>
      <c r="H26" s="508">
        <v>7.206666666666667</v>
      </c>
      <c r="I26" s="508">
        <v>4.1406063899375569</v>
      </c>
      <c r="J26" s="508">
        <v>95.7</v>
      </c>
      <c r="K26" s="508">
        <v>138.43333333333334</v>
      </c>
      <c r="L26" s="508">
        <v>5939</v>
      </c>
      <c r="M26" s="508">
        <v>6</v>
      </c>
      <c r="N26" s="508">
        <v>157.6</v>
      </c>
      <c r="O26" s="508">
        <v>240.06470837853865</v>
      </c>
      <c r="P26" s="508">
        <v>80.583756345177662</v>
      </c>
      <c r="R26" s="467">
        <f t="shared" si="0"/>
        <v>367.53906852754267</v>
      </c>
    </row>
    <row r="27" spans="1:18">
      <c r="A27" s="130" t="s">
        <v>216</v>
      </c>
      <c r="B27" s="509">
        <v>10.716162039127077</v>
      </c>
      <c r="C27" s="508">
        <v>11.67795677715735</v>
      </c>
      <c r="D27" s="509">
        <v>14.438770515895238</v>
      </c>
      <c r="E27" s="508">
        <v>4.4177110530896044</v>
      </c>
      <c r="F27" s="508">
        <v>154.1</v>
      </c>
      <c r="G27" s="508">
        <v>6.8170180128038371</v>
      </c>
      <c r="H27" s="508">
        <v>7.253333333333333</v>
      </c>
      <c r="I27" s="508">
        <v>4.4821075840637468</v>
      </c>
      <c r="J27" s="508">
        <v>86.6</v>
      </c>
      <c r="K27" s="508">
        <v>134.1</v>
      </c>
      <c r="L27" s="508">
        <v>6091</v>
      </c>
      <c r="M27" s="508">
        <v>6.13</v>
      </c>
      <c r="N27" s="508">
        <v>157.30000000000001</v>
      </c>
      <c r="O27" s="508">
        <v>241.07605221524514</v>
      </c>
      <c r="P27" s="508">
        <v>78.512396694214871</v>
      </c>
      <c r="R27" s="467">
        <f t="shared" si="0"/>
        <v>371.49819646369275</v>
      </c>
    </row>
    <row r="28" spans="1:18">
      <c r="A28" s="130" t="s">
        <v>215</v>
      </c>
      <c r="B28" s="509">
        <v>10.798131288537123</v>
      </c>
      <c r="C28" s="508">
        <v>11.465743015852061</v>
      </c>
      <c r="D28" s="509">
        <v>14.061980022063803</v>
      </c>
      <c r="E28" s="508">
        <v>140.74749782419499</v>
      </c>
      <c r="F28" s="508">
        <v>154</v>
      </c>
      <c r="G28" s="508">
        <v>6.6724460142623254</v>
      </c>
      <c r="H28" s="508">
        <v>7.05</v>
      </c>
      <c r="I28" s="508">
        <v>4.2784486138868383</v>
      </c>
      <c r="J28" s="508">
        <v>77.099999999999994</v>
      </c>
      <c r="K28" s="508">
        <v>119.9</v>
      </c>
      <c r="L28" s="508">
        <v>6268</v>
      </c>
      <c r="M28" s="508">
        <v>5.67</v>
      </c>
      <c r="N28" s="508">
        <v>156.4</v>
      </c>
      <c r="O28" s="508">
        <v>241.93580268964149</v>
      </c>
      <c r="P28" s="508">
        <v>76.023017902813294</v>
      </c>
      <c r="R28" s="467">
        <f t="shared" si="0"/>
        <v>372.58113614204791</v>
      </c>
    </row>
    <row r="29" spans="1:18">
      <c r="A29" s="130" t="s">
        <v>214</v>
      </c>
      <c r="B29" s="509">
        <v>10.942836097592673</v>
      </c>
      <c r="C29" s="508">
        <v>11.674386921637149</v>
      </c>
      <c r="D29" s="509">
        <v>14.263291306913025</v>
      </c>
      <c r="E29" s="508">
        <v>75.962793733680996</v>
      </c>
      <c r="F29" s="508">
        <v>151</v>
      </c>
      <c r="G29" s="508">
        <v>5.6561532627061339</v>
      </c>
      <c r="H29" s="508">
        <v>5.663333333333334</v>
      </c>
      <c r="I29" s="508">
        <v>4.3999828872751721</v>
      </c>
      <c r="J29" s="508">
        <v>70.766666666666666</v>
      </c>
      <c r="K29" s="508">
        <v>119.86666666666667</v>
      </c>
      <c r="L29" s="508">
        <v>5867</v>
      </c>
      <c r="M29" s="508">
        <v>4.63</v>
      </c>
      <c r="N29" s="508">
        <v>154.5</v>
      </c>
      <c r="O29" s="508">
        <v>242.73314505318459</v>
      </c>
      <c r="P29" s="508">
        <v>72.556634304207122</v>
      </c>
      <c r="R29" s="467">
        <f t="shared" si="0"/>
        <v>366.52704903030872</v>
      </c>
    </row>
    <row r="30" spans="1:18">
      <c r="A30" s="130" t="s">
        <v>212</v>
      </c>
      <c r="B30" s="509">
        <v>10.881359160535141</v>
      </c>
      <c r="C30" s="508">
        <v>11.328737574424343</v>
      </c>
      <c r="D30" s="509">
        <v>13.649582811159693</v>
      </c>
      <c r="E30" s="508">
        <v>196.13605633802825</v>
      </c>
      <c r="F30" s="508">
        <v>148</v>
      </c>
      <c r="G30" s="508">
        <v>5.8132967393816894</v>
      </c>
      <c r="H30" s="508">
        <v>3.9766666666666666</v>
      </c>
      <c r="I30" s="508">
        <v>4.3236841567243758</v>
      </c>
      <c r="J30" s="508">
        <v>61.233333333333327</v>
      </c>
      <c r="K30" s="508">
        <v>120.1</v>
      </c>
      <c r="L30" s="508">
        <v>5874</v>
      </c>
      <c r="M30" s="508">
        <v>3.71</v>
      </c>
      <c r="N30" s="508">
        <v>151.5</v>
      </c>
      <c r="O30" s="508">
        <v>243.28465981897608</v>
      </c>
      <c r="P30" s="508">
        <v>70.363036303630366</v>
      </c>
      <c r="R30" s="467">
        <f t="shared" si="0"/>
        <v>360.06129653208461</v>
      </c>
    </row>
    <row r="31" spans="1:18">
      <c r="A31" s="130" t="s">
        <v>211</v>
      </c>
      <c r="B31" s="509">
        <v>10.67643603701003</v>
      </c>
      <c r="C31" s="508">
        <v>10.821542658011735</v>
      </c>
      <c r="D31" s="509">
        <v>12.749046381059975</v>
      </c>
      <c r="E31" s="508">
        <v>-183.51239436619699</v>
      </c>
      <c r="F31" s="508">
        <v>149</v>
      </c>
      <c r="G31" s="508">
        <v>5.0087221388028436</v>
      </c>
      <c r="H31" s="508">
        <v>3.3133333333333339</v>
      </c>
      <c r="I31" s="508">
        <v>4.4786774273792744</v>
      </c>
      <c r="J31" s="508">
        <v>55.4</v>
      </c>
      <c r="K31" s="508">
        <v>105.2</v>
      </c>
      <c r="L31" s="508">
        <v>5915</v>
      </c>
      <c r="M31" s="508">
        <v>3.08</v>
      </c>
      <c r="N31" s="508">
        <v>149.4</v>
      </c>
      <c r="O31" s="508">
        <v>243.89657935711384</v>
      </c>
      <c r="P31" s="508">
        <v>65.327978580990631</v>
      </c>
      <c r="R31" s="467">
        <f t="shared" si="0"/>
        <v>363.40590324209961</v>
      </c>
    </row>
    <row r="32" spans="1:18">
      <c r="A32" s="130" t="s">
        <v>210</v>
      </c>
      <c r="B32" s="509">
        <v>10.36905135172236</v>
      </c>
      <c r="C32" s="508">
        <v>10.533195634697432</v>
      </c>
      <c r="D32" s="509">
        <v>12.237079500867308</v>
      </c>
      <c r="E32" s="508">
        <v>73.713802816901023</v>
      </c>
      <c r="F32" s="508">
        <v>144.5</v>
      </c>
      <c r="G32" s="508">
        <v>4.9207217918645316</v>
      </c>
      <c r="H32" s="508">
        <v>4.76</v>
      </c>
      <c r="I32" s="508">
        <v>4.6052754402015026</v>
      </c>
      <c r="J32" s="508">
        <v>41.4</v>
      </c>
      <c r="K32" s="508">
        <v>91.8</v>
      </c>
      <c r="L32" s="508">
        <v>5998</v>
      </c>
      <c r="M32" s="508">
        <v>2.92</v>
      </c>
      <c r="N32" s="508">
        <v>144.9</v>
      </c>
      <c r="O32" s="508">
        <v>244.18204808514361</v>
      </c>
      <c r="P32" s="508">
        <v>61.145617667356795</v>
      </c>
      <c r="R32" s="467">
        <f t="shared" si="0"/>
        <v>352.8430594830325</v>
      </c>
    </row>
    <row r="33" spans="1:18">
      <c r="A33" s="130" t="s">
        <v>209</v>
      </c>
      <c r="B33" s="509">
        <v>9.9985788885763682</v>
      </c>
      <c r="C33" s="508">
        <v>10.28341221098537</v>
      </c>
      <c r="D33" s="509">
        <v>11.911401447140753</v>
      </c>
      <c r="E33" s="508">
        <v>74.562535211267587</v>
      </c>
      <c r="F33" s="508">
        <v>139.5</v>
      </c>
      <c r="G33" s="508">
        <v>3.3759813494419069</v>
      </c>
      <c r="H33" s="508">
        <v>4.796666666666666</v>
      </c>
      <c r="I33" s="508">
        <v>4.8650254937742625</v>
      </c>
      <c r="J33" s="508">
        <v>41.766666666666666</v>
      </c>
      <c r="K33" s="508">
        <v>86.166666666666671</v>
      </c>
      <c r="L33" s="508">
        <v>5615</v>
      </c>
      <c r="M33" s="508">
        <v>2.67</v>
      </c>
      <c r="N33" s="508">
        <v>140</v>
      </c>
      <c r="O33" s="508">
        <v>244.4307185556751</v>
      </c>
      <c r="P33" s="508">
        <v>59.071428571428569</v>
      </c>
      <c r="R33" s="467">
        <f t="shared" si="0"/>
        <v>340.98085238516683</v>
      </c>
    </row>
    <row r="34" spans="1:18">
      <c r="A34" s="130" t="s">
        <v>207</v>
      </c>
      <c r="B34" s="509">
        <v>10.135194304259777</v>
      </c>
      <c r="C34" s="508">
        <v>10.269726134831512</v>
      </c>
      <c r="D34" s="509">
        <v>11.887101499008699</v>
      </c>
      <c r="E34" s="508">
        <v>120.53559859154929</v>
      </c>
      <c r="F34" s="508">
        <v>137.30000000000001</v>
      </c>
      <c r="G34" s="508">
        <v>4.1176985593505311</v>
      </c>
      <c r="H34" s="508">
        <v>5.13</v>
      </c>
      <c r="I34" s="508">
        <v>4.7066319318673067</v>
      </c>
      <c r="J34" s="508">
        <v>42.166666666666664</v>
      </c>
      <c r="K34" s="508">
        <v>83.766666666666666</v>
      </c>
      <c r="L34" s="508">
        <v>5529</v>
      </c>
      <c r="M34" s="508">
        <v>2.21</v>
      </c>
      <c r="N34" s="508">
        <v>137.19999999999999</v>
      </c>
      <c r="O34" s="508">
        <v>244.28819462772529</v>
      </c>
      <c r="P34" s="508">
        <v>58.236151603498541</v>
      </c>
      <c r="R34" s="467">
        <f t="shared" si="0"/>
        <v>335.40769122386683</v>
      </c>
    </row>
    <row r="35" spans="1:18">
      <c r="A35" s="130" t="s">
        <v>206</v>
      </c>
      <c r="B35" s="509">
        <v>10.00540965936054</v>
      </c>
      <c r="C35" s="508">
        <v>10.062937450683192</v>
      </c>
      <c r="D35" s="509">
        <v>11.519943356484148</v>
      </c>
      <c r="E35" s="508">
        <v>-307.4671478873239</v>
      </c>
      <c r="F35" s="508">
        <v>135.5</v>
      </c>
      <c r="G35" s="508">
        <v>3.72169699812813</v>
      </c>
      <c r="H35" s="508">
        <v>9.4133333333333322</v>
      </c>
      <c r="I35" s="508">
        <v>4.7402633837580783</v>
      </c>
      <c r="J35" s="508">
        <v>33.233333333333327</v>
      </c>
      <c r="K35" s="508">
        <v>69.233333333333334</v>
      </c>
      <c r="L35" s="508">
        <v>5964</v>
      </c>
      <c r="M35" s="508">
        <v>2</v>
      </c>
      <c r="N35" s="508">
        <v>135.6</v>
      </c>
      <c r="O35" s="508">
        <v>244.44450959336243</v>
      </c>
      <c r="P35" s="508">
        <v>55.825958702064895</v>
      </c>
      <c r="R35" s="467">
        <f t="shared" si="0"/>
        <v>331.22231049900603</v>
      </c>
    </row>
    <row r="36" spans="1:18">
      <c r="A36" s="130" t="s">
        <v>205</v>
      </c>
      <c r="B36" s="509">
        <v>9.779994223482916</v>
      </c>
      <c r="C36" s="508">
        <v>9.5316069866310471</v>
      </c>
      <c r="D36" s="509">
        <v>10.576553697366402</v>
      </c>
      <c r="E36" s="508">
        <v>-241.67447183098596</v>
      </c>
      <c r="F36" s="508">
        <v>132.19999999999999</v>
      </c>
      <c r="G36" s="508">
        <v>2.6468356176673278</v>
      </c>
      <c r="H36" s="508">
        <v>7.7733333333333334</v>
      </c>
      <c r="I36" s="508">
        <v>4.8673453221587826</v>
      </c>
      <c r="J36" s="508">
        <v>26.466666666666665</v>
      </c>
      <c r="K36" s="508">
        <v>49</v>
      </c>
      <c r="L36" s="508">
        <v>6369</v>
      </c>
      <c r="M36" s="508">
        <v>3.67</v>
      </c>
      <c r="N36" s="508">
        <v>132</v>
      </c>
      <c r="O36" s="508">
        <v>244.44087387180974</v>
      </c>
      <c r="P36" s="508">
        <v>53.106060606060609</v>
      </c>
      <c r="R36" s="467">
        <f t="shared" si="0"/>
        <v>323.15083525853248</v>
      </c>
    </row>
    <row r="37" spans="1:18">
      <c r="A37" s="130" t="s">
        <v>204</v>
      </c>
      <c r="B37" s="509">
        <v>9.6004839959771182</v>
      </c>
      <c r="C37" s="508">
        <v>9.3603580871312833</v>
      </c>
      <c r="D37" s="509">
        <v>10.758734922843514</v>
      </c>
      <c r="E37" s="508">
        <v>233.906021126761</v>
      </c>
      <c r="F37" s="508">
        <v>123.3</v>
      </c>
      <c r="G37" s="508">
        <v>2.0629165720195166</v>
      </c>
      <c r="H37" s="508">
        <v>6.5666666666666664</v>
      </c>
      <c r="I37" s="508">
        <v>4.7324793796342277</v>
      </c>
      <c r="J37" s="508">
        <v>21.033333333333331</v>
      </c>
      <c r="K37" s="508">
        <v>47.333333333333336</v>
      </c>
      <c r="L37" s="508">
        <v>6224</v>
      </c>
      <c r="M37" s="508">
        <v>3.8</v>
      </c>
      <c r="N37" s="508">
        <v>122.7</v>
      </c>
      <c r="O37" s="508">
        <v>244.00522588102606</v>
      </c>
      <c r="P37" s="508">
        <v>54.19722901385493</v>
      </c>
      <c r="R37" s="467">
        <f t="shared" si="0"/>
        <v>300.8584435113051</v>
      </c>
    </row>
    <row r="38" spans="1:18">
      <c r="A38" s="130" t="s">
        <v>202</v>
      </c>
      <c r="B38" s="509">
        <v>9.1974685197110642</v>
      </c>
      <c r="C38" s="508">
        <v>9.2171489262822011</v>
      </c>
      <c r="D38" s="509">
        <v>10.504463710149233</v>
      </c>
      <c r="E38" s="508">
        <v>-214.933333333333</v>
      </c>
      <c r="F38" s="508">
        <v>120.8</v>
      </c>
      <c r="G38" s="508">
        <v>2.5280612629791621</v>
      </c>
      <c r="H38" s="508">
        <v>4.916666666666667</v>
      </c>
      <c r="I38" s="508">
        <v>4.8209217926939782</v>
      </c>
      <c r="J38" s="508">
        <v>24.6</v>
      </c>
      <c r="K38" s="508">
        <v>49.966666666666669</v>
      </c>
      <c r="L38" s="508">
        <v>6026</v>
      </c>
      <c r="M38" s="508">
        <v>3.13</v>
      </c>
      <c r="N38" s="508">
        <v>118.7</v>
      </c>
      <c r="O38" s="508">
        <v>243.53711457545069</v>
      </c>
      <c r="P38" s="508">
        <v>51.642796967144058</v>
      </c>
      <c r="R38" s="467">
        <f t="shared" si="0"/>
        <v>294.19283440714446</v>
      </c>
    </row>
    <row r="39" spans="1:18">
      <c r="A39" s="130" t="s">
        <v>201</v>
      </c>
      <c r="B39" s="509">
        <v>9.1701454365743835</v>
      </c>
      <c r="C39" s="508">
        <v>9.1306295688530579</v>
      </c>
      <c r="D39" s="509">
        <v>10.350846568587862</v>
      </c>
      <c r="E39" s="508">
        <v>-150.83333333333297</v>
      </c>
      <c r="F39" s="508">
        <v>119.7</v>
      </c>
      <c r="G39" s="508">
        <v>2.3332033519014725</v>
      </c>
      <c r="H39" s="508">
        <v>4.4433333333333334</v>
      </c>
      <c r="I39" s="508">
        <v>4.9328724072019066</v>
      </c>
      <c r="J39" s="508">
        <v>26</v>
      </c>
      <c r="K39" s="508">
        <v>53.7</v>
      </c>
      <c r="L39" s="508">
        <v>5863</v>
      </c>
      <c r="M39" s="508">
        <v>2.29</v>
      </c>
      <c r="N39" s="508">
        <v>116</v>
      </c>
      <c r="O39" s="508">
        <v>243.25830437108192</v>
      </c>
      <c r="P39" s="508">
        <v>53.275862068965516</v>
      </c>
      <c r="R39" s="467">
        <f t="shared" si="0"/>
        <v>291.18019033218502</v>
      </c>
    </row>
    <row r="40" spans="1:18">
      <c r="A40" s="130" t="s">
        <v>200</v>
      </c>
      <c r="B40" s="509">
        <v>9.4365454971570291</v>
      </c>
      <c r="C40" s="508">
        <v>9.2669883648860036</v>
      </c>
      <c r="D40" s="509">
        <v>10.592954798419386</v>
      </c>
      <c r="E40" s="508">
        <v>25.9</v>
      </c>
      <c r="F40" s="508">
        <v>118.5</v>
      </c>
      <c r="G40" s="508">
        <v>2.3394890909684949</v>
      </c>
      <c r="H40" s="508">
        <v>3.88</v>
      </c>
      <c r="I40" s="508">
        <v>5.0157750012254665</v>
      </c>
      <c r="J40" s="508">
        <v>26.266666666666666</v>
      </c>
      <c r="K40" s="508">
        <v>59.066666666666663</v>
      </c>
      <c r="L40" s="508">
        <v>5642</v>
      </c>
      <c r="M40" s="508">
        <v>1.71</v>
      </c>
      <c r="N40" s="508">
        <v>114.2</v>
      </c>
      <c r="O40" s="508">
        <v>242.9025669084777</v>
      </c>
      <c r="P40" s="508">
        <v>54.290718038528894</v>
      </c>
      <c r="R40" s="467">
        <f t="shared" si="0"/>
        <v>287.83954178654608</v>
      </c>
    </row>
    <row r="41" spans="1:18">
      <c r="A41" s="130" t="s">
        <v>199</v>
      </c>
      <c r="B41" s="509">
        <v>8.8874390536229892</v>
      </c>
      <c r="C41" s="508">
        <v>9.3456388525863332</v>
      </c>
      <c r="D41" s="509">
        <v>10.95608166153198</v>
      </c>
      <c r="E41" s="508">
        <v>325.96666666666704</v>
      </c>
      <c r="F41" s="508">
        <v>116.6</v>
      </c>
      <c r="G41" s="508">
        <v>2.2866728411423587</v>
      </c>
      <c r="H41" s="508">
        <v>3.88</v>
      </c>
      <c r="I41" s="508">
        <v>5.1404226184048483</v>
      </c>
      <c r="J41" s="508">
        <v>30.433333333333337</v>
      </c>
      <c r="K41" s="508">
        <v>66.733333333333334</v>
      </c>
      <c r="L41" s="508">
        <v>5608</v>
      </c>
      <c r="M41" s="508">
        <v>1.92</v>
      </c>
      <c r="N41" s="508">
        <v>112.3</v>
      </c>
      <c r="O41" s="508">
        <v>242.55113462703349</v>
      </c>
      <c r="P41" s="508">
        <v>53.606411398040962</v>
      </c>
      <c r="R41" s="467">
        <f t="shared" si="0"/>
        <v>282.81462297512104</v>
      </c>
    </row>
    <row r="42" spans="1:18">
      <c r="A42" s="130" t="s">
        <v>197</v>
      </c>
      <c r="B42" s="509">
        <v>8.9694083030330347</v>
      </c>
      <c r="C42" s="508">
        <v>9.4478500442889857</v>
      </c>
      <c r="D42" s="509">
        <v>11.137560021652739</v>
      </c>
      <c r="E42" s="508">
        <v>158.62804842894209</v>
      </c>
      <c r="F42" s="508">
        <v>117.2</v>
      </c>
      <c r="G42" s="508">
        <v>2.9026752697105378</v>
      </c>
      <c r="H42" s="508">
        <v>3.88</v>
      </c>
      <c r="I42" s="508">
        <v>5.0404742259569684</v>
      </c>
      <c r="J42" s="508">
        <v>36.266666666666673</v>
      </c>
      <c r="K42" s="508">
        <v>72.566666666666663</v>
      </c>
      <c r="L42" s="508">
        <v>5515</v>
      </c>
      <c r="M42" s="508">
        <v>2.21</v>
      </c>
      <c r="N42" s="508">
        <v>111.7</v>
      </c>
      <c r="O42" s="508">
        <v>242.15926842839997</v>
      </c>
      <c r="P42" s="508">
        <v>57.385854968666067</v>
      </c>
    </row>
    <row r="43" spans="1:18">
      <c r="A43" s="130" t="s">
        <v>196</v>
      </c>
      <c r="B43" s="509">
        <v>9.2563006759681929</v>
      </c>
      <c r="C43" s="508">
        <v>9.701899353985187</v>
      </c>
      <c r="D43" s="509">
        <v>11.588630509585229</v>
      </c>
      <c r="E43" s="508">
        <v>180.51749783799369</v>
      </c>
      <c r="F43" s="508">
        <v>118.1</v>
      </c>
      <c r="G43" s="508">
        <v>3.1226761370563159</v>
      </c>
      <c r="H43" s="508">
        <v>3.88</v>
      </c>
      <c r="I43" s="508">
        <v>5.0317029447318724</v>
      </c>
      <c r="J43" s="508">
        <v>48.566666666666663</v>
      </c>
      <c r="K43" s="508">
        <v>65.733333333333334</v>
      </c>
      <c r="L43" s="508">
        <v>5731</v>
      </c>
      <c r="M43" s="508">
        <v>1.5</v>
      </c>
      <c r="N43" s="508">
        <v>113.3</v>
      </c>
      <c r="O43" s="508">
        <v>242.01695795776661</v>
      </c>
      <c r="P43" s="508">
        <v>59.399823477493378</v>
      </c>
    </row>
    <row r="44" spans="1:18">
      <c r="A44" s="130" t="s">
        <v>195</v>
      </c>
      <c r="B44" s="509">
        <v>9.4885468826299864</v>
      </c>
      <c r="C44" s="508">
        <v>9.8461369918318624</v>
      </c>
      <c r="D44" s="509">
        <v>11.844727807230052</v>
      </c>
      <c r="E44" s="508">
        <v>140.75664456615704</v>
      </c>
      <c r="F44" s="508">
        <v>120.1</v>
      </c>
      <c r="G44" s="508">
        <v>3.2923910918659161</v>
      </c>
      <c r="H44" s="508">
        <v>3.88</v>
      </c>
      <c r="I44" s="508">
        <v>4.9837887863055341</v>
      </c>
      <c r="J44" s="508">
        <v>50.666666666666664</v>
      </c>
      <c r="K44" s="508">
        <v>64.5</v>
      </c>
      <c r="L44" s="508">
        <v>5715</v>
      </c>
      <c r="M44" s="508">
        <v>1.29</v>
      </c>
      <c r="N44" s="508">
        <v>113.8</v>
      </c>
      <c r="O44" s="508">
        <v>241.96378632413177</v>
      </c>
      <c r="P44" s="508">
        <v>56.326889279437609</v>
      </c>
    </row>
    <row r="45" spans="1:18">
      <c r="A45" s="130" t="s">
        <v>194</v>
      </c>
      <c r="B45" s="509">
        <v>9.2352728303166813</v>
      </c>
      <c r="C45" s="508">
        <v>10.021843813243779</v>
      </c>
      <c r="D45" s="509">
        <v>12.060151188572075</v>
      </c>
      <c r="E45" s="508">
        <v>764.9978091669069</v>
      </c>
      <c r="F45" s="508">
        <v>120.2</v>
      </c>
      <c r="G45" s="508">
        <v>4.0383267029853522</v>
      </c>
      <c r="H45" s="508">
        <v>3.88</v>
      </c>
      <c r="I45" s="508">
        <v>5.0211868650645242</v>
      </c>
      <c r="J45" s="508">
        <v>70</v>
      </c>
      <c r="K45" s="508">
        <v>73.7</v>
      </c>
      <c r="L45" s="508">
        <v>5698</v>
      </c>
      <c r="M45" s="508">
        <v>1.38</v>
      </c>
      <c r="N45" s="508">
        <v>114.4</v>
      </c>
      <c r="O45" s="508">
        <v>241.97909588253441</v>
      </c>
      <c r="P45" s="508">
        <v>58.304195804195807</v>
      </c>
    </row>
    <row r="46" spans="1:18">
      <c r="A46" s="130" t="s">
        <v>192</v>
      </c>
      <c r="B46" s="509">
        <v>9.3445651628634074</v>
      </c>
      <c r="C46" s="508">
        <v>10.299013831364547</v>
      </c>
      <c r="D46" s="509">
        <v>12.552273034773897</v>
      </c>
      <c r="E46" s="508">
        <v>1018.4196635350667</v>
      </c>
      <c r="F46" s="508">
        <v>120</v>
      </c>
      <c r="G46" s="508">
        <v>4.629186175285442</v>
      </c>
      <c r="H46" s="508">
        <v>3.84</v>
      </c>
      <c r="I46" s="508">
        <v>4.8715856256911323</v>
      </c>
      <c r="J46" s="508">
        <v>76</v>
      </c>
      <c r="K46" s="508">
        <v>74.833333333333329</v>
      </c>
      <c r="L46" s="508">
        <v>5775</v>
      </c>
      <c r="M46" s="508">
        <v>0.96</v>
      </c>
      <c r="N46" s="508">
        <v>114.8</v>
      </c>
      <c r="O46" s="508">
        <v>242.19888904488363</v>
      </c>
      <c r="P46" s="508">
        <v>58.972125435540072</v>
      </c>
    </row>
    <row r="47" spans="1:18">
      <c r="A47" s="130" t="s">
        <v>191</v>
      </c>
      <c r="B47" s="509">
        <v>9.2421036011008511</v>
      </c>
      <c r="C47" s="508">
        <v>10.31394258463801</v>
      </c>
      <c r="D47" s="509">
        <v>12.578779385180189</v>
      </c>
      <c r="E47" s="508">
        <v>806.75774524797907</v>
      </c>
      <c r="F47" s="508">
        <v>121.9</v>
      </c>
      <c r="G47" s="508">
        <v>5.0000447802397545</v>
      </c>
      <c r="H47" s="508">
        <v>3.75</v>
      </c>
      <c r="I47" s="508">
        <v>4.8124223168793634</v>
      </c>
      <c r="J47" s="508">
        <v>86</v>
      </c>
      <c r="K47" s="508">
        <v>80.266666666666666</v>
      </c>
      <c r="L47" s="508">
        <v>5865</v>
      </c>
      <c r="M47" s="508">
        <v>0.88</v>
      </c>
      <c r="N47" s="508">
        <v>115.7</v>
      </c>
      <c r="O47" s="508">
        <v>242.6550736630401</v>
      </c>
      <c r="P47" s="508">
        <v>61.71132238547969</v>
      </c>
    </row>
    <row r="48" spans="1:18">
      <c r="A48" s="130" t="s">
        <v>190</v>
      </c>
      <c r="B48" s="509">
        <v>9.3787190167842596</v>
      </c>
      <c r="C48" s="508">
        <v>10.682294257876594</v>
      </c>
      <c r="D48" s="509">
        <v>13.23279639147384</v>
      </c>
      <c r="E48" s="508">
        <v>779.00338649770595</v>
      </c>
      <c r="F48" s="508">
        <v>122.2</v>
      </c>
      <c r="G48" s="508">
        <v>4.9246159114354873</v>
      </c>
      <c r="H48" s="508">
        <v>3.6266666666666665</v>
      </c>
      <c r="I48" s="508">
        <v>4.7158005547773891</v>
      </c>
      <c r="J48" s="508">
        <v>116.56666666666666</v>
      </c>
      <c r="K48" s="508">
        <v>81.13333333333334</v>
      </c>
      <c r="L48" s="508">
        <v>5972</v>
      </c>
      <c r="M48" s="508">
        <v>0.88</v>
      </c>
      <c r="N48" s="508">
        <v>118.4</v>
      </c>
      <c r="O48" s="508">
        <v>243.2580404950794</v>
      </c>
      <c r="P48" s="508">
        <v>59.29054054054054</v>
      </c>
    </row>
    <row r="49" spans="1:16">
      <c r="A49" s="130" t="s">
        <v>189</v>
      </c>
      <c r="B49" s="509">
        <v>10.099547503671904</v>
      </c>
      <c r="C49" s="508">
        <v>10.859621605182561</v>
      </c>
      <c r="D49" s="509">
        <v>13.556132770257038</v>
      </c>
      <c r="E49" s="508">
        <v>1266.7192047192484</v>
      </c>
      <c r="F49" s="508">
        <v>122.4</v>
      </c>
      <c r="G49" s="508">
        <v>4.7489670998785751</v>
      </c>
      <c r="H49" s="508">
        <v>3.4033333333333338</v>
      </c>
      <c r="I49" s="508">
        <v>4.7338912134395619</v>
      </c>
      <c r="J49" s="508">
        <v>115.93333333333332</v>
      </c>
      <c r="K49" s="508">
        <v>85.9</v>
      </c>
      <c r="L49" s="508">
        <v>5836</v>
      </c>
      <c r="M49" s="508">
        <v>0.79</v>
      </c>
      <c r="N49" s="508">
        <v>119.6</v>
      </c>
      <c r="O49" s="508">
        <v>243.82767456679437</v>
      </c>
      <c r="P49" s="508">
        <v>57.692307692307693</v>
      </c>
    </row>
    <row r="50" spans="1:16">
      <c r="A50" s="130" t="s">
        <v>187</v>
      </c>
      <c r="B50" s="509">
        <v>9.8263166723050865</v>
      </c>
      <c r="C50" s="508">
        <v>11.200743822106165</v>
      </c>
      <c r="D50" s="509">
        <v>14.161803240357294</v>
      </c>
      <c r="E50" s="508">
        <v>977.95</v>
      </c>
      <c r="F50" s="508">
        <v>122.7</v>
      </c>
      <c r="G50" s="508">
        <v>6.3266876057011565</v>
      </c>
      <c r="H50" s="508">
        <v>3.1566666666666663</v>
      </c>
      <c r="I50" s="508">
        <v>4.6932612398237676</v>
      </c>
      <c r="J50" s="508">
        <v>135.73333333333332</v>
      </c>
      <c r="K50" s="508">
        <v>91.333333333333329</v>
      </c>
      <c r="L50" s="508">
        <v>5968</v>
      </c>
      <c r="M50" s="508">
        <v>0.75</v>
      </c>
      <c r="N50" s="508">
        <v>119.4</v>
      </c>
      <c r="O50" s="508">
        <v>244.3986778707646</v>
      </c>
      <c r="P50" s="508">
        <v>57.286432160804019</v>
      </c>
    </row>
    <row r="51" spans="1:16">
      <c r="A51" s="130" t="s">
        <v>186</v>
      </c>
      <c r="B51" s="509">
        <v>9.908285921715132</v>
      </c>
      <c r="C51" s="508">
        <v>11.250822653044313</v>
      </c>
      <c r="D51" s="509">
        <v>14.250719375313032</v>
      </c>
      <c r="E51" s="508">
        <v>1049.95</v>
      </c>
      <c r="F51" s="508">
        <v>124.1</v>
      </c>
      <c r="G51" s="508">
        <v>6.8484039482640018</v>
      </c>
      <c r="H51" s="508">
        <v>3.0066666666666664</v>
      </c>
      <c r="I51" s="508">
        <v>4.7545564463890528</v>
      </c>
      <c r="J51" s="508"/>
      <c r="K51" s="508">
        <v>94.3</v>
      </c>
      <c r="L51" s="508">
        <v>6258</v>
      </c>
      <c r="M51" s="508">
        <v>0.75</v>
      </c>
      <c r="N51" s="508">
        <v>119.2</v>
      </c>
      <c r="O51" s="508">
        <v>245.6009761138146</v>
      </c>
      <c r="P51" s="508">
        <v>58.557046979865774</v>
      </c>
    </row>
    <row r="52" spans="1:16">
      <c r="A52" s="130" t="s">
        <v>185</v>
      </c>
      <c r="B52" s="509">
        <v>9.9219474632834732</v>
      </c>
      <c r="C52" s="508">
        <v>11.523770475307204</v>
      </c>
      <c r="D52" s="509">
        <v>14.735344614072634</v>
      </c>
      <c r="E52" s="508">
        <v>1060.45</v>
      </c>
      <c r="F52" s="508">
        <v>123</v>
      </c>
      <c r="G52" s="508">
        <v>6.6786889934544016</v>
      </c>
      <c r="H52" s="508">
        <v>3.0166666666666671</v>
      </c>
      <c r="I52" s="508">
        <v>4.8315562214348731</v>
      </c>
      <c r="J52" s="508"/>
      <c r="K52" s="508">
        <v>89.933333333333337</v>
      </c>
      <c r="L52" s="508">
        <v>6373</v>
      </c>
      <c r="M52" s="508">
        <v>0.75</v>
      </c>
      <c r="N52" s="508">
        <v>119.3</v>
      </c>
      <c r="O52" s="508">
        <v>247.00696185495119</v>
      </c>
      <c r="P52" s="508">
        <v>61.022632020117349</v>
      </c>
    </row>
    <row r="53" spans="1:16">
      <c r="A53" s="130" t="s">
        <v>184</v>
      </c>
      <c r="B53" s="509">
        <v>10.297136831811743</v>
      </c>
      <c r="C53" s="508">
        <v>11.560397170163689</v>
      </c>
      <c r="D53" s="509">
        <v>14.982758481286668</v>
      </c>
      <c r="E53" s="508">
        <v>1085.95</v>
      </c>
      <c r="F53" s="508">
        <v>124.2</v>
      </c>
      <c r="G53" s="508">
        <v>6.0953317460742973</v>
      </c>
      <c r="H53" s="508">
        <v>3</v>
      </c>
      <c r="I53" s="508">
        <v>4.6977539708763469</v>
      </c>
      <c r="J53" s="508"/>
      <c r="K53" s="508">
        <v>92.966666666666654</v>
      </c>
      <c r="L53" s="508">
        <v>6266</v>
      </c>
      <c r="M53" s="508">
        <v>0.75</v>
      </c>
      <c r="N53" s="508">
        <v>119.9</v>
      </c>
      <c r="O53" s="508">
        <v>248.33770233351285</v>
      </c>
      <c r="P53" s="508">
        <v>61.96830692243536</v>
      </c>
    </row>
    <row r="54" spans="1:16">
      <c r="A54" s="130" t="s">
        <v>182</v>
      </c>
      <c r="B54" s="509">
        <v>10.221998353185869</v>
      </c>
      <c r="C54" s="508">
        <v>11.973378181075823</v>
      </c>
      <c r="D54" s="509">
        <v>15.716015919859334</v>
      </c>
      <c r="E54" s="508">
        <v>681.50000152587893</v>
      </c>
      <c r="F54" s="508">
        <v>124.4</v>
      </c>
      <c r="G54" s="508">
        <v>7.5787661658915448</v>
      </c>
      <c r="H54" s="508">
        <v>2.9333333333333336</v>
      </c>
      <c r="I54" s="508">
        <v>4.6455768443127958</v>
      </c>
      <c r="J54" s="508"/>
      <c r="K54" s="508">
        <v>99.033333333333346</v>
      </c>
      <c r="L54" s="508">
        <v>6351</v>
      </c>
      <c r="M54" s="508">
        <v>0.75</v>
      </c>
      <c r="N54" s="508">
        <v>120.5</v>
      </c>
      <c r="O54" s="508">
        <v>249.39587082838909</v>
      </c>
      <c r="P54" s="508">
        <v>61.825726141078839</v>
      </c>
    </row>
    <row r="55" spans="1:16">
      <c r="A55" s="130" t="s">
        <v>181</v>
      </c>
      <c r="B55" s="509">
        <v>10.338121456516767</v>
      </c>
      <c r="C55" s="508">
        <v>12.121092558263955</v>
      </c>
      <c r="D55" s="509">
        <v>15.978286249475941</v>
      </c>
      <c r="E55" s="508">
        <v>1180.4000015258789</v>
      </c>
      <c r="F55" s="508">
        <v>125</v>
      </c>
      <c r="G55" s="508">
        <v>7.8993388583096795</v>
      </c>
      <c r="H55" s="508">
        <v>2.9233333333333333</v>
      </c>
      <c r="I55" s="508">
        <v>4.6644664996365881</v>
      </c>
      <c r="J55" s="508"/>
      <c r="K55" s="508">
        <v>101.66666666666667</v>
      </c>
      <c r="L55" s="508">
        <v>6653</v>
      </c>
      <c r="M55" s="508">
        <v>0.75</v>
      </c>
      <c r="N55" s="508">
        <v>121.5</v>
      </c>
      <c r="O55" s="508">
        <v>251.04500102868539</v>
      </c>
      <c r="P55" s="508">
        <v>61.97530864197531</v>
      </c>
    </row>
    <row r="56" spans="1:16">
      <c r="A56" s="130" t="s">
        <v>180</v>
      </c>
      <c r="B56" s="509">
        <v>10.741136932782819</v>
      </c>
      <c r="C56" s="508">
        <v>12.482480703699341</v>
      </c>
      <c r="D56" s="509">
        <v>16.619939349378051</v>
      </c>
      <c r="E56" s="508">
        <v>572.20000610351599</v>
      </c>
      <c r="F56" s="508">
        <v>124.3</v>
      </c>
      <c r="G56" s="508">
        <v>7.5913376440255895</v>
      </c>
      <c r="H56" s="508">
        <v>2.9866666666666668</v>
      </c>
      <c r="I56" s="508">
        <v>4.669025549741348</v>
      </c>
      <c r="J56" s="508"/>
      <c r="K56" s="508">
        <v>106</v>
      </c>
      <c r="L56" s="508">
        <v>6964</v>
      </c>
      <c r="M56" s="508">
        <v>0.75</v>
      </c>
      <c r="N56" s="508">
        <v>122.8</v>
      </c>
      <c r="O56" s="508">
        <v>252.81473676417775</v>
      </c>
      <c r="P56" s="508">
        <v>63.517915309446252</v>
      </c>
    </row>
    <row r="57" spans="1:16">
      <c r="A57" s="130" t="s">
        <v>179</v>
      </c>
      <c r="B57" s="509">
        <v>10.860585060696462</v>
      </c>
      <c r="C57" s="508">
        <v>12.666944159436072</v>
      </c>
      <c r="D57" s="509">
        <v>16.863360665068903</v>
      </c>
      <c r="E57" s="508">
        <v>2575.0000007629396</v>
      </c>
      <c r="F57" s="508">
        <v>124.8</v>
      </c>
      <c r="G57" s="508">
        <v>7.1692222668865355</v>
      </c>
      <c r="H57" s="508">
        <v>3</v>
      </c>
      <c r="I57" s="508">
        <v>4.6098774270948111</v>
      </c>
      <c r="J57" s="508"/>
      <c r="K57" s="508">
        <v>108</v>
      </c>
      <c r="L57" s="508">
        <v>6838</v>
      </c>
      <c r="M57" s="508">
        <v>0.75</v>
      </c>
      <c r="N57" s="508">
        <v>123.3</v>
      </c>
      <c r="O57" s="508">
        <v>254.45182562248911</v>
      </c>
      <c r="P57" s="508">
        <v>66.991078669910792</v>
      </c>
    </row>
    <row r="58" spans="1:16">
      <c r="A58" s="130" t="s">
        <v>177</v>
      </c>
      <c r="B58" s="509">
        <v>10.717138874228882</v>
      </c>
      <c r="C58" s="508">
        <v>13.065599366604451</v>
      </c>
      <c r="D58" s="509">
        <v>17.571182304219608</v>
      </c>
      <c r="E58" s="508">
        <v>801.49999694824191</v>
      </c>
      <c r="F58" s="508">
        <v>125.2</v>
      </c>
      <c r="G58" s="508">
        <v>8.4137986021569393</v>
      </c>
      <c r="H58" s="508">
        <v>2.8933333333333331</v>
      </c>
      <c r="I58" s="508">
        <v>4.4883238696578225</v>
      </c>
      <c r="J58" s="508"/>
      <c r="K58" s="508">
        <v>111.73333333333333</v>
      </c>
      <c r="L58" s="508">
        <v>6938</v>
      </c>
      <c r="M58" s="508">
        <v>1</v>
      </c>
      <c r="N58" s="508">
        <v>124.1</v>
      </c>
      <c r="O58" s="508">
        <v>255.97289549496512</v>
      </c>
      <c r="P58" s="508">
        <v>66.881547139403708</v>
      </c>
    </row>
    <row r="59" spans="1:16">
      <c r="A59" s="130" t="s">
        <v>176</v>
      </c>
      <c r="B59" s="509">
        <v>10.956215851674846</v>
      </c>
      <c r="C59" s="508">
        <v>13.144722280235877</v>
      </c>
      <c r="D59" s="509">
        <v>17.711666886921474</v>
      </c>
      <c r="E59" s="508">
        <v>1769.500001525879</v>
      </c>
      <c r="F59" s="508">
        <v>125.8</v>
      </c>
      <c r="G59" s="508">
        <v>8.5332276444303616</v>
      </c>
      <c r="H59" s="508">
        <v>2.88</v>
      </c>
      <c r="I59" s="508">
        <v>4.5315052452366373</v>
      </c>
      <c r="J59" s="508"/>
      <c r="K59" s="508">
        <v>115.03333333333335</v>
      </c>
      <c r="L59" s="508">
        <v>7259</v>
      </c>
      <c r="M59" s="508">
        <v>1</v>
      </c>
      <c r="N59" s="508">
        <v>125</v>
      </c>
      <c r="O59" s="508">
        <v>257.98660579978673</v>
      </c>
      <c r="P59" s="508">
        <v>64.72</v>
      </c>
    </row>
    <row r="60" spans="1:16">
      <c r="A60" s="130" t="s">
        <v>175</v>
      </c>
      <c r="B60" s="509">
        <v>11.079169725789914</v>
      </c>
      <c r="C60" s="508">
        <v>13.42808844920299</v>
      </c>
      <c r="D60" s="509">
        <v>18.214790143790015</v>
      </c>
      <c r="E60" s="508">
        <v>907.9</v>
      </c>
      <c r="F60" s="508">
        <v>124.8</v>
      </c>
      <c r="G60" s="508">
        <v>8.4577987756260935</v>
      </c>
      <c r="H60" s="508">
        <v>2.88</v>
      </c>
      <c r="I60" s="508">
        <v>4.6316819505584492</v>
      </c>
      <c r="J60" s="508"/>
      <c r="K60" s="508">
        <v>112.16666666666667</v>
      </c>
      <c r="L60" s="508">
        <v>7499</v>
      </c>
      <c r="M60" s="508">
        <v>1</v>
      </c>
      <c r="N60" s="508">
        <v>126</v>
      </c>
      <c r="O60" s="508">
        <v>260.03825093617752</v>
      </c>
      <c r="P60" s="508">
        <v>57.777777777777779</v>
      </c>
    </row>
    <row r="61" spans="1:16">
      <c r="A61" s="130" t="s">
        <v>174</v>
      </c>
      <c r="B61" s="509">
        <v>11.123619566779775</v>
      </c>
      <c r="C61" s="508">
        <v>13.858877668957341</v>
      </c>
      <c r="D61" s="509">
        <v>18.620497162164298</v>
      </c>
      <c r="E61" s="508">
        <v>2471</v>
      </c>
      <c r="F61" s="508">
        <v>125.2</v>
      </c>
      <c r="G61" s="508">
        <v>8.035772925600277</v>
      </c>
      <c r="H61" s="508">
        <v>2.88</v>
      </c>
      <c r="I61" s="508">
        <v>4.439641569148951</v>
      </c>
      <c r="J61" s="508"/>
      <c r="K61" s="508">
        <v>113.76666666666665</v>
      </c>
      <c r="L61" s="508">
        <v>7591</v>
      </c>
      <c r="M61" s="508">
        <v>0.96</v>
      </c>
      <c r="N61" s="508">
        <v>126</v>
      </c>
      <c r="O61" s="508">
        <v>262.04931992072216</v>
      </c>
      <c r="P61" s="508">
        <v>56.904761904761905</v>
      </c>
    </row>
    <row r="62" spans="1:16">
      <c r="A62" s="130" t="s">
        <v>172</v>
      </c>
      <c r="B62" s="509">
        <v>10.850388735412958</v>
      </c>
      <c r="C62" s="508">
        <v>14.090317965787754</v>
      </c>
      <c r="D62" s="509">
        <v>19.031424819253296</v>
      </c>
      <c r="E62" s="508">
        <v>2411.0999877929689</v>
      </c>
      <c r="F62" s="508">
        <v>125.8</v>
      </c>
      <c r="G62" s="508">
        <v>9.1483487404632129</v>
      </c>
      <c r="H62" s="508">
        <v>2.88</v>
      </c>
      <c r="I62" s="508">
        <v>4.4709987709622974</v>
      </c>
      <c r="J62" s="508"/>
      <c r="K62" s="508">
        <v>112.66666666666667</v>
      </c>
      <c r="L62" s="508">
        <v>8483</v>
      </c>
      <c r="M62" s="508">
        <v>0.88</v>
      </c>
      <c r="N62" s="508">
        <v>125.9</v>
      </c>
      <c r="O62" s="508">
        <v>264.07271350187955</v>
      </c>
      <c r="P62" s="508">
        <v>55.758538522637011</v>
      </c>
    </row>
    <row r="63" spans="1:16">
      <c r="A63" s="130" t="s">
        <v>171</v>
      </c>
      <c r="B63" s="509">
        <v>11.287558065599864</v>
      </c>
      <c r="C63" s="508">
        <v>14.323463410695728</v>
      </c>
      <c r="D63" s="509">
        <v>19.445380006612929</v>
      </c>
      <c r="E63" s="508">
        <v>1467.799987792969</v>
      </c>
      <c r="F63" s="508">
        <v>126.2</v>
      </c>
      <c r="G63" s="508">
        <v>9.4500642156802801</v>
      </c>
      <c r="H63" s="508">
        <v>2.88</v>
      </c>
      <c r="I63" s="508">
        <v>4.5905929142614283</v>
      </c>
      <c r="J63" s="508"/>
      <c r="K63" s="508">
        <v>104.43333333333334</v>
      </c>
      <c r="L63" s="508">
        <v>10170</v>
      </c>
      <c r="M63" s="508">
        <v>0.73</v>
      </c>
      <c r="N63" s="508">
        <v>125.8</v>
      </c>
      <c r="O63" s="508">
        <v>266.53317952605192</v>
      </c>
      <c r="P63" s="508">
        <v>56.518282988871228</v>
      </c>
    </row>
    <row r="64" spans="1:16">
      <c r="A64" s="130" t="s">
        <v>170</v>
      </c>
      <c r="B64" s="509">
        <v>11.786204332844303</v>
      </c>
      <c r="C64" s="508">
        <v>14.623835691157717</v>
      </c>
      <c r="D64" s="509">
        <v>19.978698011969474</v>
      </c>
      <c r="E64" s="508">
        <v>3244.7999877929688</v>
      </c>
      <c r="F64" s="508">
        <v>125.1</v>
      </c>
      <c r="G64" s="508">
        <v>9.280349260870679</v>
      </c>
      <c r="H64" s="508">
        <v>2.88</v>
      </c>
      <c r="I64" s="507" t="s">
        <v>802</v>
      </c>
      <c r="J64" s="507"/>
      <c r="K64" s="508">
        <v>105.53333333333335</v>
      </c>
      <c r="L64" s="508">
        <v>10403</v>
      </c>
      <c r="M64" s="508">
        <v>0.67</v>
      </c>
      <c r="N64" s="508">
        <v>125.6</v>
      </c>
      <c r="O64" s="507" t="s">
        <v>801</v>
      </c>
      <c r="P64" s="506" t="s">
        <v>803</v>
      </c>
    </row>
    <row r="65" spans="1:16">
      <c r="A65" s="130" t="s">
        <v>168</v>
      </c>
      <c r="B65" s="509">
        <v>11.739979625905018</v>
      </c>
      <c r="C65" s="508">
        <v>13.083530247501715</v>
      </c>
      <c r="D65" s="509">
        <v>17.318381806367018</v>
      </c>
      <c r="E65" s="508">
        <v>3085.7999877929688</v>
      </c>
      <c r="F65" s="508">
        <v>125.8</v>
      </c>
      <c r="G65" s="508">
        <v>8.9550548679684834</v>
      </c>
      <c r="H65" s="508">
        <v>2.88</v>
      </c>
      <c r="I65" s="507" t="s">
        <v>802</v>
      </c>
      <c r="J65" s="507"/>
      <c r="K65" s="508">
        <v>103.866666666667</v>
      </c>
      <c r="L65" s="508">
        <v>10497</v>
      </c>
      <c r="M65" s="508"/>
      <c r="N65" s="508">
        <v>125.6</v>
      </c>
      <c r="O65" s="507" t="s">
        <v>801</v>
      </c>
      <c r="P65" s="506" t="s">
        <v>800</v>
      </c>
    </row>
    <row r="66" spans="1:16" ht="13" thickBot="1">
      <c r="A66" s="505"/>
      <c r="B66" s="505"/>
      <c r="C66" s="505"/>
      <c r="D66" s="505"/>
      <c r="E66" s="505"/>
      <c r="F66" s="505"/>
      <c r="G66" s="505"/>
      <c r="H66" s="505"/>
      <c r="I66" s="505"/>
      <c r="J66" s="505"/>
      <c r="K66" s="505"/>
      <c r="L66" s="505"/>
      <c r="M66" s="505"/>
      <c r="N66" s="505"/>
      <c r="O66" s="505"/>
      <c r="P66" s="505"/>
    </row>
    <row r="67" spans="1:16" ht="13" thickTop="1">
      <c r="A67" s="498"/>
      <c r="B67" s="498"/>
      <c r="C67" s="498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</row>
  </sheetData>
  <sheetProtection sheet="1" objects="1" scenarios="1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baseColWidth="10" defaultColWidth="8.83203125" defaultRowHeight="12" x14ac:dyDescent="0"/>
  <cols>
    <col min="1" max="1" width="8.83203125" style="2"/>
    <col min="2" max="2" width="34.6640625" style="2" customWidth="1"/>
    <col min="3" max="16384" width="8.83203125" style="2"/>
  </cols>
  <sheetData>
    <row r="1" spans="1:25">
      <c r="A1" s="41" t="s">
        <v>893</v>
      </c>
      <c r="D1" s="529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5">
      <c r="B2" s="41"/>
      <c r="D2" s="52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5">
      <c r="A3" s="41" t="s">
        <v>892</v>
      </c>
      <c r="D3" s="52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5" ht="13" thickBot="1">
      <c r="A4" s="39"/>
      <c r="B4" s="39"/>
      <c r="C4" s="15"/>
      <c r="D4" s="528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4" thickTop="1" thickBot="1">
      <c r="A5" s="35"/>
      <c r="B5" s="35"/>
      <c r="C5" s="34"/>
      <c r="D5" s="32">
        <v>1924</v>
      </c>
      <c r="E5" s="32">
        <v>1925</v>
      </c>
      <c r="F5" s="32" t="s">
        <v>51</v>
      </c>
      <c r="G5" s="32" t="s">
        <v>50</v>
      </c>
      <c r="H5" s="32" t="s">
        <v>49</v>
      </c>
      <c r="I5" s="32" t="s">
        <v>48</v>
      </c>
      <c r="J5" s="32" t="s">
        <v>47</v>
      </c>
      <c r="K5" s="32" t="s">
        <v>46</v>
      </c>
      <c r="L5" s="32" t="s">
        <v>45</v>
      </c>
      <c r="M5" s="32" t="s">
        <v>44</v>
      </c>
      <c r="N5" s="32" t="s">
        <v>43</v>
      </c>
      <c r="O5" s="32" t="s">
        <v>42</v>
      </c>
      <c r="P5" s="32" t="s">
        <v>41</v>
      </c>
      <c r="Q5" s="32" t="s">
        <v>40</v>
      </c>
      <c r="R5" s="32" t="s">
        <v>39</v>
      </c>
      <c r="S5" s="32" t="s">
        <v>891</v>
      </c>
      <c r="T5" s="32" t="s">
        <v>890</v>
      </c>
      <c r="U5" s="32" t="s">
        <v>889</v>
      </c>
      <c r="V5" s="32" t="s">
        <v>888</v>
      </c>
      <c r="W5" s="32" t="s">
        <v>887</v>
      </c>
      <c r="X5" s="32" t="s">
        <v>886</v>
      </c>
      <c r="Y5" s="32" t="s">
        <v>885</v>
      </c>
    </row>
    <row r="6" spans="1:25" ht="13" thickTop="1"/>
    <row r="7" spans="1:25" s="527" customFormat="1" ht="11">
      <c r="A7" s="527" t="s">
        <v>884</v>
      </c>
      <c r="C7" s="523" t="s">
        <v>883</v>
      </c>
      <c r="D7" s="527">
        <v>1941</v>
      </c>
      <c r="E7" s="527">
        <v>2960</v>
      </c>
      <c r="F7" s="527">
        <v>3736</v>
      </c>
      <c r="G7" s="527">
        <v>4564</v>
      </c>
      <c r="H7" s="527">
        <v>4930</v>
      </c>
      <c r="I7" s="527">
        <v>5044</v>
      </c>
      <c r="J7" s="527">
        <v>4778</v>
      </c>
      <c r="K7" s="527">
        <v>4776</v>
      </c>
      <c r="L7" s="527">
        <v>3561</v>
      </c>
      <c r="M7" s="527">
        <v>3645</v>
      </c>
      <c r="N7" s="527">
        <v>3901</v>
      </c>
      <c r="O7" s="527">
        <v>4285</v>
      </c>
      <c r="P7" s="527">
        <v>4980</v>
      </c>
      <c r="Q7" s="527">
        <v>5493</v>
      </c>
      <c r="R7" s="527">
        <v>8223</v>
      </c>
      <c r="S7" s="527">
        <v>11798</v>
      </c>
      <c r="T7" s="527">
        <v>14033</v>
      </c>
      <c r="U7" s="527">
        <v>19325</v>
      </c>
      <c r="V7" s="527">
        <v>24357</v>
      </c>
      <c r="W7" s="527">
        <v>33683</v>
      </c>
      <c r="X7" s="527">
        <v>50102</v>
      </c>
      <c r="Y7" s="527">
        <v>56425</v>
      </c>
    </row>
    <row r="8" spans="1:25" s="527" customFormat="1" ht="11">
      <c r="A8" s="527" t="s">
        <v>882</v>
      </c>
      <c r="C8" s="523" t="s">
        <v>881</v>
      </c>
      <c r="D8" s="527">
        <v>124</v>
      </c>
      <c r="E8" s="527">
        <v>193</v>
      </c>
      <c r="F8" s="527">
        <v>194</v>
      </c>
      <c r="G8" s="527">
        <v>194</v>
      </c>
      <c r="H8" s="527">
        <v>193</v>
      </c>
      <c r="I8" s="527">
        <v>194</v>
      </c>
      <c r="J8" s="527">
        <v>192</v>
      </c>
      <c r="K8" s="527">
        <v>192</v>
      </c>
      <c r="L8" s="527">
        <v>190</v>
      </c>
      <c r="M8" s="527">
        <v>190</v>
      </c>
      <c r="N8" s="527">
        <v>193</v>
      </c>
      <c r="O8" s="527">
        <v>110</v>
      </c>
      <c r="P8" s="527">
        <v>0</v>
      </c>
      <c r="Q8" s="527">
        <v>0</v>
      </c>
      <c r="R8" s="527">
        <v>0</v>
      </c>
      <c r="S8" s="527">
        <v>0</v>
      </c>
      <c r="T8" s="527">
        <v>0</v>
      </c>
      <c r="U8" s="527">
        <v>0</v>
      </c>
      <c r="V8" s="527">
        <v>0</v>
      </c>
      <c r="W8" s="527">
        <v>0</v>
      </c>
      <c r="X8" s="527">
        <v>0</v>
      </c>
      <c r="Y8" s="527">
        <v>0</v>
      </c>
    </row>
    <row r="9" spans="1:25" s="527" customFormat="1" ht="11">
      <c r="A9" s="527" t="s">
        <v>880</v>
      </c>
      <c r="C9" s="523" t="s">
        <v>879</v>
      </c>
      <c r="D9" s="527">
        <v>1980</v>
      </c>
      <c r="E9" s="527">
        <v>1609</v>
      </c>
      <c r="F9" s="527">
        <v>1172</v>
      </c>
      <c r="G9" s="527">
        <v>740</v>
      </c>
      <c r="H9" s="527">
        <v>607</v>
      </c>
      <c r="I9" s="527">
        <v>480</v>
      </c>
      <c r="J9" s="527">
        <v>447</v>
      </c>
      <c r="K9" s="527">
        <v>427</v>
      </c>
      <c r="L9" s="527">
        <v>427</v>
      </c>
      <c r="M9" s="527">
        <v>409</v>
      </c>
      <c r="N9" s="527">
        <v>409</v>
      </c>
      <c r="O9" s="527">
        <v>409</v>
      </c>
      <c r="P9" s="527">
        <v>409</v>
      </c>
      <c r="Q9" s="527">
        <v>409</v>
      </c>
      <c r="R9" s="527">
        <v>409</v>
      </c>
      <c r="S9" s="527">
        <v>1083</v>
      </c>
      <c r="T9" s="527">
        <v>1335</v>
      </c>
      <c r="U9" s="527">
        <v>1400</v>
      </c>
      <c r="V9" s="527">
        <v>1550</v>
      </c>
      <c r="W9" s="527">
        <v>1550</v>
      </c>
      <c r="X9" s="527">
        <v>1550</v>
      </c>
      <c r="Y9" s="527">
        <v>1550</v>
      </c>
    </row>
    <row r="10" spans="1:25" s="527" customFormat="1" ht="11">
      <c r="A10" s="527" t="s">
        <v>878</v>
      </c>
      <c r="C10" s="523" t="s">
        <v>877</v>
      </c>
      <c r="D10" s="527">
        <v>429</v>
      </c>
      <c r="E10" s="527">
        <v>644</v>
      </c>
      <c r="F10" s="527">
        <v>836</v>
      </c>
      <c r="G10" s="527">
        <v>878</v>
      </c>
      <c r="H10" s="527">
        <v>1029</v>
      </c>
      <c r="I10" s="527">
        <v>998</v>
      </c>
      <c r="J10" s="527">
        <v>1002</v>
      </c>
      <c r="K10" s="527">
        <v>1290</v>
      </c>
      <c r="L10" s="527">
        <v>1501</v>
      </c>
      <c r="M10" s="527">
        <v>1516</v>
      </c>
      <c r="N10" s="527">
        <v>1525</v>
      </c>
      <c r="O10" s="527">
        <v>1544</v>
      </c>
      <c r="P10" s="527">
        <v>1602</v>
      </c>
      <c r="Q10" s="527">
        <v>1615</v>
      </c>
      <c r="R10" s="527">
        <v>1799</v>
      </c>
      <c r="S10" s="527">
        <v>1762</v>
      </c>
      <c r="T10" s="527">
        <v>1635</v>
      </c>
      <c r="U10" s="527">
        <v>1746</v>
      </c>
      <c r="V10" s="527">
        <v>1704</v>
      </c>
      <c r="W10" s="527">
        <v>1836</v>
      </c>
      <c r="X10" s="527">
        <v>1909</v>
      </c>
      <c r="Y10" s="527">
        <v>1911</v>
      </c>
    </row>
    <row r="11" spans="1:25" s="527" customFormat="1" ht="11">
      <c r="A11" s="526" t="s">
        <v>876</v>
      </c>
      <c r="C11" s="523" t="s">
        <v>875</v>
      </c>
      <c r="D11" s="527">
        <f t="shared" ref="D11:Y11" si="0">SUM(D7:D10)</f>
        <v>4474</v>
      </c>
      <c r="E11" s="527">
        <f t="shared" si="0"/>
        <v>5406</v>
      </c>
      <c r="F11" s="527">
        <f t="shared" si="0"/>
        <v>5938</v>
      </c>
      <c r="G11" s="527">
        <f t="shared" si="0"/>
        <v>6376</v>
      </c>
      <c r="H11" s="527">
        <f t="shared" si="0"/>
        <v>6759</v>
      </c>
      <c r="I11" s="527">
        <f t="shared" si="0"/>
        <v>6716</v>
      </c>
      <c r="J11" s="527">
        <f t="shared" si="0"/>
        <v>6419</v>
      </c>
      <c r="K11" s="527">
        <f t="shared" si="0"/>
        <v>6685</v>
      </c>
      <c r="L11" s="527">
        <f t="shared" si="0"/>
        <v>5679</v>
      </c>
      <c r="M11" s="527">
        <f t="shared" si="0"/>
        <v>5760</v>
      </c>
      <c r="N11" s="527">
        <f t="shared" si="0"/>
        <v>6028</v>
      </c>
      <c r="O11" s="527">
        <f t="shared" si="0"/>
        <v>6348</v>
      </c>
      <c r="P11" s="527">
        <f t="shared" si="0"/>
        <v>6991</v>
      </c>
      <c r="Q11" s="527">
        <f t="shared" si="0"/>
        <v>7517</v>
      </c>
      <c r="R11" s="527">
        <f t="shared" si="0"/>
        <v>10431</v>
      </c>
      <c r="S11" s="527">
        <f t="shared" si="0"/>
        <v>14643</v>
      </c>
      <c r="T11" s="527">
        <f t="shared" si="0"/>
        <v>17003</v>
      </c>
      <c r="U11" s="527">
        <f t="shared" si="0"/>
        <v>22471</v>
      </c>
      <c r="V11" s="527">
        <f t="shared" si="0"/>
        <v>27611</v>
      </c>
      <c r="W11" s="527">
        <f t="shared" si="0"/>
        <v>37069</v>
      </c>
      <c r="X11" s="527">
        <f t="shared" si="0"/>
        <v>53561</v>
      </c>
      <c r="Y11" s="527">
        <f t="shared" si="0"/>
        <v>59886</v>
      </c>
    </row>
    <row r="12" spans="1:25" s="527" customFormat="1" ht="11">
      <c r="A12" s="527" t="s">
        <v>874</v>
      </c>
      <c r="C12" s="523" t="s">
        <v>873</v>
      </c>
      <c r="D12" s="527">
        <v>46</v>
      </c>
      <c r="E12" s="527">
        <v>62</v>
      </c>
      <c r="F12" s="527">
        <v>86</v>
      </c>
      <c r="G12" s="527">
        <v>43</v>
      </c>
      <c r="H12" s="527">
        <v>82</v>
      </c>
      <c r="I12" s="527">
        <v>89</v>
      </c>
      <c r="J12" s="527">
        <v>137</v>
      </c>
      <c r="K12" s="527">
        <v>81</v>
      </c>
      <c r="L12" s="527">
        <v>177</v>
      </c>
      <c r="M12" s="527">
        <v>172</v>
      </c>
      <c r="N12" s="527">
        <v>162</v>
      </c>
      <c r="O12" s="527">
        <v>152</v>
      </c>
      <c r="P12" s="527">
        <v>123</v>
      </c>
      <c r="Q12" s="527">
        <v>111</v>
      </c>
      <c r="R12" s="527">
        <v>116</v>
      </c>
      <c r="S12" s="527">
        <v>350</v>
      </c>
      <c r="T12" s="527">
        <v>118</v>
      </c>
      <c r="U12" s="527">
        <v>88</v>
      </c>
      <c r="V12" s="527">
        <v>115</v>
      </c>
      <c r="W12" s="527">
        <v>29</v>
      </c>
      <c r="X12" s="527">
        <v>7</v>
      </c>
      <c r="Y12" s="527">
        <v>5</v>
      </c>
    </row>
    <row r="13" spans="1:25" s="527" customFormat="1" ht="11">
      <c r="A13" s="527" t="s">
        <v>872</v>
      </c>
      <c r="C13" s="523" t="s">
        <v>871</v>
      </c>
      <c r="D13" s="527">
        <f>145+8</f>
        <v>153</v>
      </c>
      <c r="E13" s="527">
        <f>13+11</f>
        <v>24</v>
      </c>
      <c r="F13" s="527">
        <f>8+4</f>
        <v>12</v>
      </c>
      <c r="G13" s="527">
        <f>24+5</f>
        <v>29</v>
      </c>
      <c r="H13" s="527">
        <f>78+8</f>
        <v>86</v>
      </c>
      <c r="I13" s="527">
        <f>84+4</f>
        <v>88</v>
      </c>
      <c r="J13" s="527">
        <f>7+4</f>
        <v>11</v>
      </c>
      <c r="K13" s="527">
        <f>5+2</f>
        <v>7</v>
      </c>
      <c r="L13" s="527">
        <f>14+3</f>
        <v>17</v>
      </c>
      <c r="M13" s="527">
        <f>17+4</f>
        <v>21</v>
      </c>
      <c r="N13" s="527">
        <f>24+6</f>
        <v>30</v>
      </c>
      <c r="O13" s="527">
        <f>11+5</f>
        <v>16</v>
      </c>
      <c r="P13" s="527">
        <v>35</v>
      </c>
      <c r="Q13" s="527">
        <v>8</v>
      </c>
      <c r="R13" s="527">
        <v>17</v>
      </c>
      <c r="S13" s="527">
        <v>115</v>
      </c>
      <c r="T13" s="527">
        <v>222</v>
      </c>
      <c r="U13" s="527">
        <v>137</v>
      </c>
      <c r="V13" s="527">
        <v>243</v>
      </c>
      <c r="W13" s="527">
        <v>500</v>
      </c>
      <c r="X13" s="527">
        <v>414</v>
      </c>
      <c r="Y13" s="527">
        <v>388</v>
      </c>
    </row>
    <row r="14" spans="1:25" s="527" customFormat="1" ht="11">
      <c r="A14" s="527" t="s">
        <v>870</v>
      </c>
      <c r="C14" s="523" t="s">
        <v>869</v>
      </c>
      <c r="D14" s="527">
        <v>81</v>
      </c>
      <c r="E14" s="527">
        <v>104</v>
      </c>
      <c r="F14" s="527">
        <v>126</v>
      </c>
      <c r="G14" s="527">
        <v>120</v>
      </c>
      <c r="H14" s="527">
        <v>117</v>
      </c>
      <c r="I14" s="527">
        <v>124</v>
      </c>
      <c r="J14" s="527">
        <v>121</v>
      </c>
      <c r="K14" s="527">
        <v>114</v>
      </c>
      <c r="L14" s="527">
        <v>93</v>
      </c>
      <c r="M14" s="527">
        <v>98</v>
      </c>
      <c r="N14" s="527">
        <v>100</v>
      </c>
      <c r="O14" s="527">
        <v>68</v>
      </c>
      <c r="P14" s="527">
        <v>0</v>
      </c>
      <c r="Q14" s="527">
        <v>0</v>
      </c>
      <c r="R14" s="527">
        <v>0</v>
      </c>
      <c r="S14" s="527">
        <v>0</v>
      </c>
      <c r="T14" s="527">
        <v>0</v>
      </c>
      <c r="U14" s="527">
        <v>0</v>
      </c>
      <c r="V14" s="527">
        <v>0</v>
      </c>
      <c r="W14" s="527">
        <v>0</v>
      </c>
      <c r="X14" s="527">
        <v>0</v>
      </c>
      <c r="Y14" s="527">
        <v>0</v>
      </c>
    </row>
    <row r="15" spans="1:25" s="527" customFormat="1" ht="11">
      <c r="A15" s="527" t="s">
        <v>868</v>
      </c>
      <c r="C15" s="523" t="s">
        <v>867</v>
      </c>
      <c r="D15" s="527">
        <v>192</v>
      </c>
      <c r="E15" s="527">
        <v>107</v>
      </c>
      <c r="F15" s="527">
        <v>84</v>
      </c>
      <c r="G15" s="527">
        <v>1</v>
      </c>
      <c r="H15" s="527">
        <v>12</v>
      </c>
      <c r="I15" s="527">
        <v>39</v>
      </c>
      <c r="J15" s="527">
        <v>20</v>
      </c>
      <c r="K15" s="527">
        <v>5</v>
      </c>
      <c r="L15" s="527">
        <v>4</v>
      </c>
      <c r="M15" s="527">
        <v>4</v>
      </c>
      <c r="N15" s="527">
        <v>2</v>
      </c>
      <c r="O15" s="527">
        <v>0</v>
      </c>
      <c r="P15" s="527">
        <v>1</v>
      </c>
      <c r="Q15" s="527">
        <v>0</v>
      </c>
      <c r="R15" s="527">
        <v>1</v>
      </c>
      <c r="S15" s="527">
        <v>2</v>
      </c>
      <c r="T15" s="527">
        <v>2</v>
      </c>
      <c r="U15" s="527">
        <v>2</v>
      </c>
      <c r="V15" s="527">
        <v>2</v>
      </c>
      <c r="W15" s="527">
        <v>2</v>
      </c>
      <c r="X15" s="527" t="s">
        <v>866</v>
      </c>
      <c r="Y15" s="527" t="s">
        <v>866</v>
      </c>
    </row>
    <row r="16" spans="1:25" s="527" customFormat="1" ht="11">
      <c r="A16" s="527" t="s">
        <v>865</v>
      </c>
      <c r="C16" s="523" t="s">
        <v>864</v>
      </c>
      <c r="K16" s="527">
        <v>11</v>
      </c>
      <c r="L16" s="527">
        <v>31</v>
      </c>
      <c r="M16" s="527">
        <v>56</v>
      </c>
      <c r="N16" s="527">
        <v>58</v>
      </c>
      <c r="O16" s="527">
        <v>84</v>
      </c>
      <c r="P16" s="527">
        <v>100</v>
      </c>
      <c r="Q16" s="527">
        <v>103</v>
      </c>
      <c r="R16" s="527">
        <v>79</v>
      </c>
      <c r="S16" s="527">
        <v>99</v>
      </c>
      <c r="T16" s="527">
        <v>116</v>
      </c>
      <c r="U16" s="527">
        <v>116</v>
      </c>
      <c r="V16" s="527">
        <v>109</v>
      </c>
      <c r="W16" s="527">
        <v>105</v>
      </c>
      <c r="X16" s="527">
        <v>70</v>
      </c>
      <c r="Y16" s="527">
        <v>117</v>
      </c>
    </row>
    <row r="17" spans="1:25" s="527" customFormat="1" ht="11">
      <c r="A17" s="526" t="s">
        <v>863</v>
      </c>
      <c r="C17" s="523" t="s">
        <v>862</v>
      </c>
      <c r="D17" s="527">
        <f t="shared" ref="D17:W17" si="1">SUM(D12:D16)</f>
        <v>472</v>
      </c>
      <c r="E17" s="527">
        <f t="shared" si="1"/>
        <v>297</v>
      </c>
      <c r="F17" s="527">
        <f t="shared" si="1"/>
        <v>308</v>
      </c>
      <c r="G17" s="527">
        <f t="shared" si="1"/>
        <v>193</v>
      </c>
      <c r="H17" s="527">
        <f t="shared" si="1"/>
        <v>297</v>
      </c>
      <c r="I17" s="527">
        <f t="shared" si="1"/>
        <v>340</v>
      </c>
      <c r="J17" s="527">
        <f t="shared" si="1"/>
        <v>289</v>
      </c>
      <c r="K17" s="527">
        <f t="shared" si="1"/>
        <v>218</v>
      </c>
      <c r="L17" s="527">
        <f t="shared" si="1"/>
        <v>322</v>
      </c>
      <c r="M17" s="527">
        <f t="shared" si="1"/>
        <v>351</v>
      </c>
      <c r="N17" s="527">
        <f t="shared" si="1"/>
        <v>352</v>
      </c>
      <c r="O17" s="527">
        <f t="shared" si="1"/>
        <v>320</v>
      </c>
      <c r="P17" s="527">
        <f t="shared" si="1"/>
        <v>259</v>
      </c>
      <c r="Q17" s="527">
        <f t="shared" si="1"/>
        <v>222</v>
      </c>
      <c r="R17" s="527">
        <f t="shared" si="1"/>
        <v>213</v>
      </c>
      <c r="S17" s="527">
        <f t="shared" si="1"/>
        <v>566</v>
      </c>
      <c r="T17" s="527">
        <f t="shared" si="1"/>
        <v>458</v>
      </c>
      <c r="U17" s="527">
        <f t="shared" si="1"/>
        <v>343</v>
      </c>
      <c r="V17" s="527">
        <f t="shared" si="1"/>
        <v>469</v>
      </c>
      <c r="W17" s="527">
        <f t="shared" si="1"/>
        <v>636</v>
      </c>
    </row>
    <row r="18" spans="1:25" s="527" customFormat="1" ht="11">
      <c r="A18" s="527" t="s">
        <v>861</v>
      </c>
      <c r="C18" s="523" t="s">
        <v>860</v>
      </c>
      <c r="D18" s="527">
        <v>625</v>
      </c>
      <c r="E18" s="527">
        <v>707</v>
      </c>
      <c r="F18" s="527">
        <v>783</v>
      </c>
      <c r="G18" s="527">
        <f>1051-250</f>
        <v>801</v>
      </c>
      <c r="H18" s="527">
        <f>1038-418</f>
        <v>620</v>
      </c>
      <c r="I18" s="527">
        <f>1010-391</f>
        <v>619</v>
      </c>
      <c r="J18" s="527">
        <f>999-417</f>
        <v>582</v>
      </c>
      <c r="K18" s="527">
        <f>856-413</f>
        <v>443</v>
      </c>
      <c r="L18" s="527">
        <f>690-338</f>
        <v>352</v>
      </c>
      <c r="M18" s="527">
        <f>722-345</f>
        <v>377</v>
      </c>
      <c r="N18" s="527">
        <f>813-379</f>
        <v>434</v>
      </c>
      <c r="O18" s="527">
        <f>1023-451</f>
        <v>572</v>
      </c>
      <c r="P18" s="527">
        <f>1114-470</f>
        <v>644</v>
      </c>
      <c r="Q18" s="527">
        <f>1259-592</f>
        <v>667</v>
      </c>
      <c r="R18" s="527">
        <f>1546-754</f>
        <v>792</v>
      </c>
      <c r="S18" s="527">
        <f>2022-971</f>
        <v>1051</v>
      </c>
      <c r="T18" s="527">
        <f>2150-1242</f>
        <v>908</v>
      </c>
      <c r="U18" s="527">
        <f>2647-1668</f>
        <v>979</v>
      </c>
      <c r="V18" s="527">
        <f>2959-1956</f>
        <v>1003</v>
      </c>
      <c r="W18" s="527">
        <f>3864-2633</f>
        <v>1231</v>
      </c>
    </row>
    <row r="19" spans="1:25" s="527" customFormat="1" ht="11">
      <c r="A19" s="527" t="s">
        <v>859</v>
      </c>
      <c r="C19" s="523" t="s">
        <v>858</v>
      </c>
      <c r="D19" s="525">
        <f>455*25/55</f>
        <v>206.81818181818181</v>
      </c>
      <c r="E19" s="525">
        <f>465*25/55</f>
        <v>211.36363636363637</v>
      </c>
      <c r="F19" s="525">
        <f>450*25/55</f>
        <v>204.54545454545453</v>
      </c>
      <c r="G19" s="527">
        <f>250</f>
        <v>250</v>
      </c>
      <c r="H19" s="527">
        <v>418</v>
      </c>
      <c r="I19" s="527">
        <v>391</v>
      </c>
      <c r="J19" s="527">
        <v>417</v>
      </c>
      <c r="K19" s="527">
        <v>338</v>
      </c>
      <c r="L19" s="527">
        <v>345</v>
      </c>
      <c r="M19" s="527">
        <v>451</v>
      </c>
      <c r="N19" s="527">
        <v>470</v>
      </c>
      <c r="O19" s="527">
        <v>592</v>
      </c>
      <c r="P19" s="527">
        <v>754</v>
      </c>
      <c r="Q19" s="527">
        <v>808</v>
      </c>
      <c r="R19" s="527">
        <v>813</v>
      </c>
      <c r="S19" s="527">
        <v>971</v>
      </c>
      <c r="T19" s="527">
        <v>1242</v>
      </c>
      <c r="U19" s="527">
        <v>1668</v>
      </c>
      <c r="V19" s="527">
        <v>1956</v>
      </c>
      <c r="W19" s="527">
        <v>2633</v>
      </c>
      <c r="X19" s="527">
        <v>4107</v>
      </c>
    </row>
    <row r="20" spans="1:25" s="527" customFormat="1" ht="11">
      <c r="A20" s="526" t="s">
        <v>857</v>
      </c>
      <c r="C20" s="523" t="s">
        <v>856</v>
      </c>
      <c r="D20" s="525">
        <f t="shared" ref="D20:W20" si="2">D18+D19</f>
        <v>831.81818181818176</v>
      </c>
      <c r="E20" s="525">
        <f t="shared" si="2"/>
        <v>918.36363636363637</v>
      </c>
      <c r="F20" s="525">
        <f t="shared" si="2"/>
        <v>987.5454545454545</v>
      </c>
      <c r="G20" s="525">
        <f t="shared" si="2"/>
        <v>1051</v>
      </c>
      <c r="H20" s="525">
        <f t="shared" si="2"/>
        <v>1038</v>
      </c>
      <c r="I20" s="525">
        <f t="shared" si="2"/>
        <v>1010</v>
      </c>
      <c r="J20" s="525">
        <f t="shared" si="2"/>
        <v>999</v>
      </c>
      <c r="K20" s="525">
        <f t="shared" si="2"/>
        <v>781</v>
      </c>
      <c r="L20" s="525">
        <f t="shared" si="2"/>
        <v>697</v>
      </c>
      <c r="M20" s="525">
        <f t="shared" si="2"/>
        <v>828</v>
      </c>
      <c r="N20" s="525">
        <f t="shared" si="2"/>
        <v>904</v>
      </c>
      <c r="O20" s="525">
        <f t="shared" si="2"/>
        <v>1164</v>
      </c>
      <c r="P20" s="525">
        <f t="shared" si="2"/>
        <v>1398</v>
      </c>
      <c r="Q20" s="525">
        <f t="shared" si="2"/>
        <v>1475</v>
      </c>
      <c r="R20" s="525">
        <f t="shared" si="2"/>
        <v>1605</v>
      </c>
      <c r="S20" s="525">
        <f t="shared" si="2"/>
        <v>2022</v>
      </c>
      <c r="T20" s="525">
        <f t="shared" si="2"/>
        <v>2150</v>
      </c>
      <c r="U20" s="525">
        <f t="shared" si="2"/>
        <v>2647</v>
      </c>
      <c r="V20" s="525">
        <f t="shared" si="2"/>
        <v>2959</v>
      </c>
      <c r="W20" s="525">
        <f t="shared" si="2"/>
        <v>3864</v>
      </c>
      <c r="X20" s="525"/>
    </row>
    <row r="21" spans="1:25" s="527" customFormat="1" ht="11">
      <c r="A21" s="527" t="s">
        <v>855</v>
      </c>
      <c r="C21" s="523" t="s">
        <v>854</v>
      </c>
      <c r="D21" s="527">
        <v>366</v>
      </c>
      <c r="E21" s="527">
        <v>232</v>
      </c>
      <c r="F21" s="527">
        <v>198</v>
      </c>
      <c r="G21" s="527">
        <v>229</v>
      </c>
      <c r="H21" s="527">
        <v>183</v>
      </c>
      <c r="I21" s="527">
        <v>118</v>
      </c>
      <c r="J21" s="527">
        <v>127</v>
      </c>
      <c r="K21" s="527">
        <v>151</v>
      </c>
      <c r="L21" s="527">
        <v>80</v>
      </c>
      <c r="M21" s="527">
        <v>82</v>
      </c>
      <c r="N21" s="527">
        <v>102</v>
      </c>
      <c r="O21" s="527">
        <v>101</v>
      </c>
      <c r="P21" s="527">
        <v>89</v>
      </c>
      <c r="Q21" s="527">
        <v>78</v>
      </c>
      <c r="R21" s="527">
        <v>110</v>
      </c>
      <c r="S21" s="527">
        <v>193</v>
      </c>
      <c r="T21" s="527">
        <v>207</v>
      </c>
      <c r="U21" s="527">
        <v>288</v>
      </c>
      <c r="V21" s="527">
        <v>347</v>
      </c>
      <c r="W21" s="527">
        <v>637</v>
      </c>
      <c r="X21" s="527">
        <v>1341</v>
      </c>
    </row>
    <row r="22" spans="1:25" s="527" customFormat="1" ht="11">
      <c r="A22" s="526" t="s">
        <v>853</v>
      </c>
      <c r="C22" s="523" t="s">
        <v>852</v>
      </c>
      <c r="D22" s="525">
        <f t="shared" ref="D22:W22" si="3">D11-D17-D20-D21</f>
        <v>2804.181818181818</v>
      </c>
      <c r="E22" s="525">
        <f t="shared" si="3"/>
        <v>3958.636363636364</v>
      </c>
      <c r="F22" s="525">
        <f t="shared" si="3"/>
        <v>4444.454545454546</v>
      </c>
      <c r="G22" s="525">
        <f t="shared" si="3"/>
        <v>4903</v>
      </c>
      <c r="H22" s="525">
        <f t="shared" si="3"/>
        <v>5241</v>
      </c>
      <c r="I22" s="525">
        <f t="shared" si="3"/>
        <v>5248</v>
      </c>
      <c r="J22" s="525">
        <f t="shared" si="3"/>
        <v>5004</v>
      </c>
      <c r="K22" s="525">
        <f t="shared" si="3"/>
        <v>5535</v>
      </c>
      <c r="L22" s="525">
        <f t="shared" si="3"/>
        <v>4580</v>
      </c>
      <c r="M22" s="525">
        <f t="shared" si="3"/>
        <v>4499</v>
      </c>
      <c r="N22" s="525">
        <f t="shared" si="3"/>
        <v>4670</v>
      </c>
      <c r="O22" s="525">
        <f t="shared" si="3"/>
        <v>4763</v>
      </c>
      <c r="P22" s="525">
        <f t="shared" si="3"/>
        <v>5245</v>
      </c>
      <c r="Q22" s="525">
        <f t="shared" si="3"/>
        <v>5742</v>
      </c>
      <c r="R22" s="525">
        <f t="shared" si="3"/>
        <v>8503</v>
      </c>
      <c r="S22" s="525">
        <f t="shared" si="3"/>
        <v>11862</v>
      </c>
      <c r="T22" s="525">
        <f t="shared" si="3"/>
        <v>14188</v>
      </c>
      <c r="U22" s="525">
        <f t="shared" si="3"/>
        <v>19193</v>
      </c>
      <c r="V22" s="525">
        <f t="shared" si="3"/>
        <v>23836</v>
      </c>
      <c r="W22" s="525">
        <f t="shared" si="3"/>
        <v>31932</v>
      </c>
    </row>
    <row r="23" spans="1:25" s="527" customFormat="1" ht="11">
      <c r="A23" s="526" t="s">
        <v>851</v>
      </c>
      <c r="C23" s="523" t="s">
        <v>850</v>
      </c>
      <c r="D23" s="525">
        <f t="shared" ref="D23:W23" si="4">D22+D20</f>
        <v>3636</v>
      </c>
      <c r="E23" s="525">
        <f t="shared" si="4"/>
        <v>4877</v>
      </c>
      <c r="F23" s="525">
        <f t="shared" si="4"/>
        <v>5432</v>
      </c>
      <c r="G23" s="525">
        <f t="shared" si="4"/>
        <v>5954</v>
      </c>
      <c r="H23" s="525">
        <f t="shared" si="4"/>
        <v>6279</v>
      </c>
      <c r="I23" s="525">
        <f t="shared" si="4"/>
        <v>6258</v>
      </c>
      <c r="J23" s="525">
        <f t="shared" si="4"/>
        <v>6003</v>
      </c>
      <c r="K23" s="525">
        <f t="shared" si="4"/>
        <v>6316</v>
      </c>
      <c r="L23" s="525">
        <f t="shared" si="4"/>
        <v>5277</v>
      </c>
      <c r="M23" s="525">
        <f t="shared" si="4"/>
        <v>5327</v>
      </c>
      <c r="N23" s="525">
        <f t="shared" si="4"/>
        <v>5574</v>
      </c>
      <c r="O23" s="525">
        <f t="shared" si="4"/>
        <v>5927</v>
      </c>
      <c r="P23" s="525">
        <f t="shared" si="4"/>
        <v>6643</v>
      </c>
      <c r="Q23" s="525">
        <f t="shared" si="4"/>
        <v>7217</v>
      </c>
      <c r="R23" s="525">
        <f t="shared" si="4"/>
        <v>10108</v>
      </c>
      <c r="S23" s="525">
        <f t="shared" si="4"/>
        <v>13884</v>
      </c>
      <c r="T23" s="525">
        <f t="shared" si="4"/>
        <v>16338</v>
      </c>
      <c r="U23" s="525">
        <f t="shared" si="4"/>
        <v>21840</v>
      </c>
      <c r="V23" s="525">
        <f t="shared" si="4"/>
        <v>26795</v>
      </c>
      <c r="W23" s="525">
        <f t="shared" si="4"/>
        <v>35796</v>
      </c>
    </row>
    <row r="24" spans="1:25" s="527" customFormat="1" ht="11">
      <c r="A24" s="527" t="s">
        <v>849</v>
      </c>
      <c r="C24" s="523" t="s">
        <v>848</v>
      </c>
      <c r="D24" s="527">
        <v>7613</v>
      </c>
      <c r="E24" s="527">
        <v>11660</v>
      </c>
      <c r="F24" s="527">
        <v>14712</v>
      </c>
      <c r="G24" s="527">
        <v>17419</v>
      </c>
      <c r="H24" s="527">
        <v>18569</v>
      </c>
      <c r="I24" s="527">
        <v>18842</v>
      </c>
      <c r="J24" s="527">
        <v>17599</v>
      </c>
      <c r="K24" s="527">
        <v>13509</v>
      </c>
      <c r="L24" s="527">
        <v>11958</v>
      </c>
      <c r="M24" s="527">
        <v>11196</v>
      </c>
      <c r="N24" s="527">
        <v>12121</v>
      </c>
      <c r="O24" s="527">
        <v>12910</v>
      </c>
      <c r="P24" s="527">
        <v>13958</v>
      </c>
      <c r="Q24" s="527">
        <v>15283</v>
      </c>
      <c r="R24" s="527">
        <v>17580</v>
      </c>
      <c r="S24" s="527">
        <v>22388</v>
      </c>
      <c r="T24" s="527">
        <v>31120</v>
      </c>
      <c r="U24" s="527">
        <v>35501</v>
      </c>
      <c r="V24" s="527">
        <v>43619</v>
      </c>
      <c r="W24" s="527">
        <v>51687</v>
      </c>
      <c r="X24" s="527">
        <v>63081</v>
      </c>
    </row>
    <row r="25" spans="1:25" s="527" customFormat="1" ht="11">
      <c r="A25" s="526" t="s">
        <v>847</v>
      </c>
      <c r="C25" s="523" t="s">
        <v>846</v>
      </c>
      <c r="D25" s="525">
        <f t="shared" ref="D25:W25" si="5">D22+D24</f>
        <v>10417.181818181818</v>
      </c>
      <c r="E25" s="525">
        <f t="shared" si="5"/>
        <v>15618.636363636364</v>
      </c>
      <c r="F25" s="525">
        <f t="shared" si="5"/>
        <v>19156.454545454544</v>
      </c>
      <c r="G25" s="525">
        <f t="shared" si="5"/>
        <v>22322</v>
      </c>
      <c r="H25" s="525">
        <f t="shared" si="5"/>
        <v>23810</v>
      </c>
      <c r="I25" s="525">
        <f t="shared" si="5"/>
        <v>24090</v>
      </c>
      <c r="J25" s="525">
        <f t="shared" si="5"/>
        <v>22603</v>
      </c>
      <c r="K25" s="525">
        <f t="shared" si="5"/>
        <v>19044</v>
      </c>
      <c r="L25" s="525">
        <f t="shared" si="5"/>
        <v>16538</v>
      </c>
      <c r="M25" s="525">
        <f t="shared" si="5"/>
        <v>15695</v>
      </c>
      <c r="N25" s="525">
        <f t="shared" si="5"/>
        <v>16791</v>
      </c>
      <c r="O25" s="525">
        <f t="shared" si="5"/>
        <v>17673</v>
      </c>
      <c r="P25" s="525">
        <f t="shared" si="5"/>
        <v>19203</v>
      </c>
      <c r="Q25" s="525">
        <f t="shared" si="5"/>
        <v>21025</v>
      </c>
      <c r="R25" s="525">
        <f t="shared" si="5"/>
        <v>26083</v>
      </c>
      <c r="S25" s="525">
        <f t="shared" si="5"/>
        <v>34250</v>
      </c>
      <c r="T25" s="525">
        <f t="shared" si="5"/>
        <v>45308</v>
      </c>
      <c r="U25" s="525">
        <f t="shared" si="5"/>
        <v>54694</v>
      </c>
      <c r="V25" s="525">
        <f t="shared" si="5"/>
        <v>67455</v>
      </c>
      <c r="W25" s="525">
        <f t="shared" si="5"/>
        <v>83619</v>
      </c>
      <c r="X25" s="525"/>
    </row>
    <row r="26" spans="1:25" s="527" customFormat="1" ht="11">
      <c r="A26" s="524" t="s">
        <v>845</v>
      </c>
      <c r="C26" s="523" t="s">
        <v>844</v>
      </c>
      <c r="D26" s="522">
        <f t="shared" ref="D26:W26" si="6">D22/D24</f>
        <v>0.36834123449124101</v>
      </c>
      <c r="E26" s="522">
        <f t="shared" si="6"/>
        <v>0.33950569156401061</v>
      </c>
      <c r="F26" s="522">
        <f t="shared" si="6"/>
        <v>0.30209723664046667</v>
      </c>
      <c r="G26" s="522">
        <f t="shared" si="6"/>
        <v>0.28147425225328665</v>
      </c>
      <c r="H26" s="522">
        <f t="shared" si="6"/>
        <v>0.28224460121708222</v>
      </c>
      <c r="I26" s="522">
        <f t="shared" si="6"/>
        <v>0.27852669567986416</v>
      </c>
      <c r="J26" s="522">
        <f t="shared" si="6"/>
        <v>0.28433433717824874</v>
      </c>
      <c r="K26" s="522">
        <f t="shared" si="6"/>
        <v>0.40972684876748833</v>
      </c>
      <c r="L26" s="522">
        <f t="shared" si="6"/>
        <v>0.3830071918381</v>
      </c>
      <c r="M26" s="522">
        <f t="shared" si="6"/>
        <v>0.40183994283672742</v>
      </c>
      <c r="N26" s="522">
        <f t="shared" si="6"/>
        <v>0.38528174243049251</v>
      </c>
      <c r="O26" s="522">
        <f t="shared" si="6"/>
        <v>0.36893880712625871</v>
      </c>
      <c r="P26" s="522">
        <f t="shared" si="6"/>
        <v>0.37577016764579452</v>
      </c>
      <c r="Q26" s="522">
        <f t="shared" si="6"/>
        <v>0.37571157495256169</v>
      </c>
      <c r="R26" s="522">
        <f t="shared" si="6"/>
        <v>0.48367463026166096</v>
      </c>
      <c r="S26" s="522">
        <f t="shared" si="6"/>
        <v>0.52983741289976771</v>
      </c>
      <c r="T26" s="522">
        <f t="shared" si="6"/>
        <v>0.45591259640102827</v>
      </c>
      <c r="U26" s="522">
        <f t="shared" si="6"/>
        <v>0.5406326582349793</v>
      </c>
      <c r="V26" s="522">
        <f t="shared" si="6"/>
        <v>0.54645911185492557</v>
      </c>
      <c r="W26" s="522">
        <f t="shared" si="6"/>
        <v>0.61779557722444711</v>
      </c>
      <c r="X26" s="525"/>
    </row>
    <row r="27" spans="1:25" s="527" customFormat="1" ht="11">
      <c r="A27" s="524" t="s">
        <v>843</v>
      </c>
      <c r="C27" s="523" t="s">
        <v>842</v>
      </c>
      <c r="D27" s="522">
        <f t="shared" ref="D27:W27" si="7">D25/D23</f>
        <v>2.8650115011501152</v>
      </c>
      <c r="E27" s="522">
        <f t="shared" si="7"/>
        <v>3.2025089939791602</v>
      </c>
      <c r="F27" s="522">
        <f t="shared" si="7"/>
        <v>3.5265932521087158</v>
      </c>
      <c r="G27" s="522">
        <f t="shared" si="7"/>
        <v>3.7490762512596572</v>
      </c>
      <c r="H27" s="522">
        <f t="shared" si="7"/>
        <v>3.7920050963529226</v>
      </c>
      <c r="I27" s="522">
        <f t="shared" si="7"/>
        <v>3.8494726749760306</v>
      </c>
      <c r="J27" s="522">
        <f t="shared" si="7"/>
        <v>3.7652840246543393</v>
      </c>
      <c r="K27" s="522">
        <f t="shared" si="7"/>
        <v>3.0151994933502215</v>
      </c>
      <c r="L27" s="522">
        <f t="shared" si="7"/>
        <v>3.1339776388099301</v>
      </c>
      <c r="M27" s="522">
        <f t="shared" si="7"/>
        <v>2.946311244602966</v>
      </c>
      <c r="N27" s="522">
        <f t="shared" si="7"/>
        <v>3.0123789020452101</v>
      </c>
      <c r="O27" s="522">
        <f t="shared" si="7"/>
        <v>2.9817783026826388</v>
      </c>
      <c r="P27" s="522">
        <f t="shared" si="7"/>
        <v>2.8907120276983291</v>
      </c>
      <c r="Q27" s="522">
        <f t="shared" si="7"/>
        <v>2.9132603574892615</v>
      </c>
      <c r="R27" s="522">
        <f t="shared" si="7"/>
        <v>2.580431341511674</v>
      </c>
      <c r="S27" s="522">
        <f t="shared" si="7"/>
        <v>2.4668683376548546</v>
      </c>
      <c r="T27" s="522">
        <f t="shared" si="7"/>
        <v>2.773166850287673</v>
      </c>
      <c r="U27" s="522">
        <f t="shared" si="7"/>
        <v>2.5043040293040293</v>
      </c>
      <c r="V27" s="522">
        <f t="shared" si="7"/>
        <v>2.5174472849412202</v>
      </c>
      <c r="W27" s="522">
        <f t="shared" si="7"/>
        <v>2.3359872611464967</v>
      </c>
      <c r="X27" s="525"/>
    </row>
    <row r="28" spans="1:25">
      <c r="A28" s="527" t="s">
        <v>841</v>
      </c>
      <c r="C28" s="523" t="s">
        <v>840</v>
      </c>
      <c r="D28" s="525">
        <v>780</v>
      </c>
      <c r="E28" s="525">
        <v>2190</v>
      </c>
      <c r="F28" s="525">
        <v>4062</v>
      </c>
      <c r="G28" s="525">
        <v>6209</v>
      </c>
      <c r="H28" s="525">
        <v>9615</v>
      </c>
      <c r="I28" s="525">
        <v>12538</v>
      </c>
      <c r="J28" s="525">
        <v>14281</v>
      </c>
      <c r="K28" s="525">
        <v>14159</v>
      </c>
      <c r="L28" s="525">
        <v>12989</v>
      </c>
      <c r="M28" s="525">
        <v>14059</v>
      </c>
      <c r="N28" s="525">
        <v>16156</v>
      </c>
      <c r="O28" s="525">
        <v>17724</v>
      </c>
      <c r="P28" s="525">
        <v>18684</v>
      </c>
      <c r="Q28" s="525">
        <v>20670</v>
      </c>
      <c r="R28" s="525">
        <v>23415</v>
      </c>
      <c r="S28" s="525">
        <v>29028</v>
      </c>
      <c r="T28" s="525">
        <v>37574</v>
      </c>
      <c r="U28" s="525">
        <v>45150</v>
      </c>
      <c r="V28" s="525">
        <v>61698</v>
      </c>
      <c r="W28" s="525">
        <v>80786</v>
      </c>
      <c r="X28" s="525">
        <v>97206</v>
      </c>
    </row>
    <row r="29" spans="1:25">
      <c r="A29" s="526" t="s">
        <v>839</v>
      </c>
      <c r="C29" s="523" t="s">
        <v>838</v>
      </c>
      <c r="D29" s="525">
        <f t="shared" ref="D29:W29" si="8">D25+D28</f>
        <v>11197.181818181818</v>
      </c>
      <c r="E29" s="525">
        <f t="shared" si="8"/>
        <v>17808.636363636364</v>
      </c>
      <c r="F29" s="525">
        <f t="shared" si="8"/>
        <v>23218.454545454544</v>
      </c>
      <c r="G29" s="525">
        <f t="shared" si="8"/>
        <v>28531</v>
      </c>
      <c r="H29" s="525">
        <f t="shared" si="8"/>
        <v>33425</v>
      </c>
      <c r="I29" s="525">
        <f t="shared" si="8"/>
        <v>36628</v>
      </c>
      <c r="J29" s="525">
        <f t="shared" si="8"/>
        <v>36884</v>
      </c>
      <c r="K29" s="525">
        <f t="shared" si="8"/>
        <v>33203</v>
      </c>
      <c r="L29" s="525">
        <f t="shared" si="8"/>
        <v>29527</v>
      </c>
      <c r="M29" s="525">
        <f t="shared" si="8"/>
        <v>29754</v>
      </c>
      <c r="N29" s="525">
        <f t="shared" si="8"/>
        <v>32947</v>
      </c>
      <c r="O29" s="525">
        <f t="shared" si="8"/>
        <v>35397</v>
      </c>
      <c r="P29" s="525">
        <f t="shared" si="8"/>
        <v>37887</v>
      </c>
      <c r="Q29" s="525">
        <f t="shared" si="8"/>
        <v>41695</v>
      </c>
      <c r="R29" s="525">
        <f t="shared" si="8"/>
        <v>49498</v>
      </c>
      <c r="S29" s="525">
        <f t="shared" si="8"/>
        <v>63278</v>
      </c>
      <c r="T29" s="525">
        <f t="shared" si="8"/>
        <v>82882</v>
      </c>
      <c r="U29" s="525">
        <f t="shared" si="8"/>
        <v>99844</v>
      </c>
      <c r="V29" s="525">
        <f t="shared" si="8"/>
        <v>129153</v>
      </c>
      <c r="W29" s="525">
        <f t="shared" si="8"/>
        <v>164405</v>
      </c>
    </row>
    <row r="30" spans="1:25">
      <c r="A30" s="524" t="s">
        <v>837</v>
      </c>
      <c r="C30" s="523" t="s">
        <v>836</v>
      </c>
      <c r="D30" s="522">
        <f t="shared" ref="D30:W30" si="9">D29/D23</f>
        <v>3.0795329532953293</v>
      </c>
      <c r="E30" s="522">
        <f t="shared" si="9"/>
        <v>3.6515555389863366</v>
      </c>
      <c r="F30" s="522">
        <f t="shared" si="9"/>
        <v>4.2743841210336058</v>
      </c>
      <c r="G30" s="522">
        <f t="shared" si="9"/>
        <v>4.7919046019482705</v>
      </c>
      <c r="H30" s="522">
        <f t="shared" si="9"/>
        <v>5.3232998885172798</v>
      </c>
      <c r="I30" s="522">
        <f t="shared" si="9"/>
        <v>5.8529881751358257</v>
      </c>
      <c r="J30" s="522">
        <f t="shared" si="9"/>
        <v>6.1442612027319674</v>
      </c>
      <c r="K30" s="522">
        <f t="shared" si="9"/>
        <v>5.2569664344521847</v>
      </c>
      <c r="L30" s="522">
        <f t="shared" si="9"/>
        <v>5.5954140610195191</v>
      </c>
      <c r="M30" s="522">
        <f t="shared" si="9"/>
        <v>5.5855077905012198</v>
      </c>
      <c r="N30" s="522">
        <f t="shared" si="9"/>
        <v>5.9108360243989955</v>
      </c>
      <c r="O30" s="522">
        <f t="shared" si="9"/>
        <v>5.9721612957651429</v>
      </c>
      <c r="P30" s="522">
        <f t="shared" si="9"/>
        <v>5.7032967032967035</v>
      </c>
      <c r="Q30" s="522">
        <f t="shared" si="9"/>
        <v>5.7773313010946374</v>
      </c>
      <c r="R30" s="522">
        <f t="shared" si="9"/>
        <v>4.896913335971508</v>
      </c>
      <c r="S30" s="522">
        <f t="shared" si="9"/>
        <v>4.5576202823393839</v>
      </c>
      <c r="T30" s="522">
        <f t="shared" si="9"/>
        <v>5.0729587464805972</v>
      </c>
      <c r="U30" s="522">
        <f t="shared" si="9"/>
        <v>4.5716117216117214</v>
      </c>
      <c r="V30" s="522">
        <f t="shared" si="9"/>
        <v>4.8200410524351556</v>
      </c>
      <c r="W30" s="522">
        <f t="shared" si="9"/>
        <v>4.5928316012962345</v>
      </c>
    </row>
    <row r="31" spans="1:25" ht="13" thickBot="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</row>
    <row r="32" spans="1:25" ht="13" thickTop="1"/>
  </sheetData>
  <sheetProtection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O24" sqref="O24"/>
    </sheetView>
  </sheetViews>
  <sheetFormatPr baseColWidth="10" defaultColWidth="8.83203125" defaultRowHeight="12" x14ac:dyDescent="0"/>
  <cols>
    <col min="1" max="16384" width="8.83203125" style="2"/>
  </cols>
  <sheetData>
    <row r="1" spans="1:3">
      <c r="A1" s="393" t="s">
        <v>954</v>
      </c>
      <c r="B1" s="527"/>
      <c r="C1" s="527"/>
    </row>
    <row r="2" spans="1:3">
      <c r="A2" s="527"/>
      <c r="B2" s="527"/>
      <c r="C2" s="527"/>
    </row>
    <row r="3" spans="1:3">
      <c r="A3" s="527" t="s">
        <v>953</v>
      </c>
      <c r="B3" s="527" t="s">
        <v>952</v>
      </c>
      <c r="C3" s="527"/>
    </row>
    <row r="4" spans="1:3">
      <c r="A4" s="527" t="s">
        <v>951</v>
      </c>
      <c r="B4" s="527" t="s">
        <v>950</v>
      </c>
      <c r="C4" s="527"/>
    </row>
    <row r="5" spans="1:3">
      <c r="A5" s="527" t="s">
        <v>949</v>
      </c>
      <c r="B5" s="527" t="s">
        <v>948</v>
      </c>
      <c r="C5" s="527"/>
    </row>
    <row r="6" spans="1:3">
      <c r="A6" s="527" t="s">
        <v>947</v>
      </c>
      <c r="B6" s="527" t="s">
        <v>946</v>
      </c>
      <c r="C6" s="527"/>
    </row>
    <row r="7" spans="1:3">
      <c r="A7" s="527"/>
      <c r="B7" s="527" t="s">
        <v>945</v>
      </c>
      <c r="C7" s="527"/>
    </row>
    <row r="8" spans="1:3">
      <c r="A8" s="527" t="s">
        <v>944</v>
      </c>
      <c r="B8" s="527" t="s">
        <v>943</v>
      </c>
      <c r="C8" s="527"/>
    </row>
    <row r="9" spans="1:3">
      <c r="A9" s="527" t="s">
        <v>942</v>
      </c>
      <c r="B9" s="527" t="s">
        <v>941</v>
      </c>
      <c r="C9" s="527"/>
    </row>
    <row r="10" spans="1:3">
      <c r="A10" s="527" t="s">
        <v>940</v>
      </c>
      <c r="B10" s="527" t="s">
        <v>939</v>
      </c>
      <c r="C10" s="527"/>
    </row>
    <row r="11" spans="1:3">
      <c r="A11" s="527" t="s">
        <v>938</v>
      </c>
      <c r="B11" s="527" t="s">
        <v>937</v>
      </c>
      <c r="C11" s="527"/>
    </row>
    <row r="12" spans="1:3">
      <c r="A12" s="527" t="s">
        <v>936</v>
      </c>
      <c r="B12" s="527" t="s">
        <v>935</v>
      </c>
      <c r="C12" s="527"/>
    </row>
    <row r="13" spans="1:3">
      <c r="A13" s="527" t="s">
        <v>934</v>
      </c>
      <c r="B13" s="527" t="s">
        <v>933</v>
      </c>
      <c r="C13" s="527"/>
    </row>
    <row r="14" spans="1:3">
      <c r="A14" s="527" t="s">
        <v>932</v>
      </c>
      <c r="B14" s="527" t="s">
        <v>931</v>
      </c>
      <c r="C14" s="527"/>
    </row>
    <row r="15" spans="1:3">
      <c r="A15" s="527" t="s">
        <v>930</v>
      </c>
      <c r="B15" s="527" t="s">
        <v>929</v>
      </c>
      <c r="C15" s="527"/>
    </row>
    <row r="16" spans="1:3">
      <c r="A16" s="527"/>
      <c r="B16" s="527" t="s">
        <v>928</v>
      </c>
      <c r="C16" s="527"/>
    </row>
    <row r="17" spans="1:3">
      <c r="A17" s="527"/>
      <c r="B17" s="527" t="s">
        <v>927</v>
      </c>
      <c r="C17" s="527"/>
    </row>
    <row r="18" spans="1:3">
      <c r="A18" s="527"/>
      <c r="B18" s="530" t="s">
        <v>926</v>
      </c>
      <c r="C18" s="527"/>
    </row>
    <row r="19" spans="1:3">
      <c r="A19" s="527" t="s">
        <v>925</v>
      </c>
      <c r="B19" s="527" t="s">
        <v>924</v>
      </c>
      <c r="C19" s="527"/>
    </row>
    <row r="20" spans="1:3">
      <c r="A20" s="527"/>
      <c r="B20" s="527" t="s">
        <v>923</v>
      </c>
      <c r="C20" s="527"/>
    </row>
    <row r="21" spans="1:3">
      <c r="A21" s="527"/>
      <c r="B21" s="527"/>
      <c r="C21" s="527" t="s">
        <v>922</v>
      </c>
    </row>
    <row r="22" spans="1:3">
      <c r="A22" s="527"/>
      <c r="B22" s="527" t="s">
        <v>921</v>
      </c>
      <c r="C22" s="527"/>
    </row>
    <row r="23" spans="1:3">
      <c r="A23" s="527"/>
      <c r="B23" s="527" t="s">
        <v>920</v>
      </c>
      <c r="C23" s="527" t="s">
        <v>919</v>
      </c>
    </row>
    <row r="24" spans="1:3">
      <c r="A24" s="527" t="s">
        <v>918</v>
      </c>
      <c r="B24" s="527" t="s">
        <v>917</v>
      </c>
      <c r="C24" s="527"/>
    </row>
    <row r="25" spans="1:3">
      <c r="A25" s="527" t="s">
        <v>916</v>
      </c>
      <c r="B25" s="527" t="s">
        <v>915</v>
      </c>
      <c r="C25" s="527"/>
    </row>
    <row r="26" spans="1:3">
      <c r="A26" s="527" t="s">
        <v>914</v>
      </c>
      <c r="B26" s="527" t="s">
        <v>913</v>
      </c>
      <c r="C26" s="527"/>
    </row>
    <row r="27" spans="1:3">
      <c r="A27" s="527" t="s">
        <v>912</v>
      </c>
      <c r="B27" s="527" t="s">
        <v>911</v>
      </c>
      <c r="C27" s="527"/>
    </row>
    <row r="28" spans="1:3">
      <c r="A28" s="527" t="s">
        <v>910</v>
      </c>
      <c r="B28" s="527" t="s">
        <v>909</v>
      </c>
      <c r="C28" s="527"/>
    </row>
    <row r="29" spans="1:3">
      <c r="A29" s="527" t="s">
        <v>908</v>
      </c>
      <c r="B29" s="527" t="s">
        <v>907</v>
      </c>
      <c r="C29" s="527"/>
    </row>
    <row r="30" spans="1:3">
      <c r="A30" s="527" t="s">
        <v>906</v>
      </c>
      <c r="B30" s="527" t="s">
        <v>905</v>
      </c>
      <c r="C30" s="527"/>
    </row>
    <row r="31" spans="1:3">
      <c r="A31" s="527" t="s">
        <v>904</v>
      </c>
      <c r="B31" s="527" t="s">
        <v>903</v>
      </c>
      <c r="C31" s="527"/>
    </row>
    <row r="32" spans="1:3">
      <c r="A32" s="527" t="s">
        <v>902</v>
      </c>
      <c r="B32" s="527" t="s">
        <v>901</v>
      </c>
      <c r="C32" s="527"/>
    </row>
    <row r="33" spans="1:3">
      <c r="A33" s="527" t="s">
        <v>900</v>
      </c>
      <c r="B33" s="527" t="s">
        <v>899</v>
      </c>
      <c r="C33" s="527"/>
    </row>
    <row r="34" spans="1:3">
      <c r="A34" s="527" t="s">
        <v>898</v>
      </c>
      <c r="B34" s="527" t="s">
        <v>897</v>
      </c>
    </row>
    <row r="36" spans="1:3">
      <c r="A36" s="527" t="s">
        <v>896</v>
      </c>
      <c r="B36" s="527" t="s">
        <v>895</v>
      </c>
    </row>
    <row r="37" spans="1:3">
      <c r="A37" s="527"/>
      <c r="B37" s="527" t="s">
        <v>894</v>
      </c>
    </row>
  </sheetData>
  <sheetProtection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5" workbookViewId="0">
      <selection activeCell="A5" sqref="A5"/>
    </sheetView>
  </sheetViews>
  <sheetFormatPr baseColWidth="10" defaultRowHeight="12" x14ac:dyDescent="0"/>
  <cols>
    <col min="1" max="1" width="2.83203125" style="43" customWidth="1"/>
    <col min="2" max="2" width="23.83203125" style="43" customWidth="1"/>
    <col min="3" max="3" width="5.5" style="43" customWidth="1"/>
    <col min="4" max="4" width="7.33203125" style="42" customWidth="1"/>
    <col min="5" max="11" width="6.33203125" style="42" customWidth="1"/>
    <col min="12" max="16384" width="10.83203125" style="2"/>
  </cols>
  <sheetData>
    <row r="1" spans="1:17" s="51" customFormat="1" ht="13.5" customHeight="1">
      <c r="A1" s="77"/>
      <c r="B1" s="77"/>
      <c r="C1" s="77"/>
      <c r="D1" s="76"/>
      <c r="E1" s="76"/>
      <c r="F1" s="76"/>
      <c r="G1" s="76"/>
      <c r="H1" s="76"/>
      <c r="I1" s="76"/>
      <c r="J1" s="76"/>
      <c r="K1" s="61"/>
    </row>
    <row r="2" spans="1:17" s="51" customFormat="1" ht="33" customHeight="1">
      <c r="A2" s="64" t="s">
        <v>72</v>
      </c>
      <c r="B2" s="64"/>
      <c r="C2" s="64"/>
      <c r="D2" s="75"/>
      <c r="E2" s="75"/>
      <c r="F2" s="75"/>
      <c r="G2" s="75"/>
      <c r="H2" s="75"/>
      <c r="I2" s="75"/>
      <c r="J2" s="75"/>
      <c r="K2" s="62"/>
      <c r="L2" s="52"/>
      <c r="M2" s="52"/>
    </row>
    <row r="3" spans="1:17" s="51" customFormat="1">
      <c r="A3" s="64"/>
      <c r="B3" s="64"/>
      <c r="C3" s="64"/>
      <c r="D3" s="75"/>
      <c r="E3" s="75"/>
      <c r="F3" s="75"/>
      <c r="G3" s="75"/>
      <c r="H3" s="75"/>
      <c r="I3" s="75"/>
      <c r="J3" s="75"/>
      <c r="K3" s="62"/>
      <c r="L3" s="52"/>
      <c r="M3" s="52"/>
    </row>
    <row r="4" spans="1:17" s="51" customFormat="1">
      <c r="A4" s="64"/>
      <c r="B4" s="64"/>
      <c r="C4" s="64"/>
      <c r="D4" s="75"/>
      <c r="E4" s="75"/>
      <c r="F4" s="75"/>
      <c r="G4" s="75"/>
      <c r="H4" s="75"/>
      <c r="I4" s="75"/>
      <c r="J4" s="75"/>
      <c r="K4" s="62"/>
      <c r="L4" s="52"/>
      <c r="M4" s="52"/>
    </row>
    <row r="5" spans="1:17">
      <c r="A5" s="64" t="s">
        <v>71</v>
      </c>
      <c r="B5" s="74"/>
      <c r="C5" s="74"/>
      <c r="D5" s="73"/>
      <c r="E5" s="73"/>
      <c r="F5" s="73"/>
      <c r="G5" s="73"/>
      <c r="H5" s="73"/>
      <c r="I5" s="73"/>
      <c r="J5" s="73"/>
      <c r="K5" s="62"/>
      <c r="L5" s="48"/>
      <c r="M5" s="48"/>
    </row>
    <row r="6" spans="1:17">
      <c r="A6" s="64"/>
      <c r="B6" s="74"/>
      <c r="C6" s="74"/>
      <c r="D6" s="73"/>
      <c r="E6" s="73"/>
      <c r="F6" s="73"/>
      <c r="G6" s="73"/>
      <c r="H6" s="73"/>
      <c r="I6" s="73"/>
      <c r="J6" s="73"/>
      <c r="K6" s="62"/>
      <c r="L6" s="48"/>
      <c r="M6" s="48"/>
    </row>
    <row r="7" spans="1:17" ht="13" thickBot="1">
      <c r="A7" s="72"/>
      <c r="B7" s="72"/>
      <c r="C7" s="72"/>
      <c r="D7" s="71"/>
      <c r="E7" s="71"/>
      <c r="F7" s="71"/>
      <c r="G7" s="71"/>
      <c r="H7" s="71"/>
      <c r="I7" s="71"/>
      <c r="J7" s="71"/>
      <c r="K7" s="71"/>
      <c r="L7" s="48"/>
      <c r="M7" s="48"/>
    </row>
    <row r="8" spans="1:17" s="51" customFormat="1" ht="14" thickTop="1" thickBot="1">
      <c r="A8" s="70"/>
      <c r="B8" s="69"/>
      <c r="C8" s="68"/>
      <c r="D8" s="67"/>
      <c r="E8" s="67">
        <v>1932</v>
      </c>
      <c r="F8" s="67">
        <v>1933</v>
      </c>
      <c r="G8" s="67">
        <v>1934</v>
      </c>
      <c r="H8" s="67">
        <v>1935</v>
      </c>
      <c r="I8" s="67">
        <v>1936</v>
      </c>
      <c r="J8" s="67">
        <v>1937</v>
      </c>
      <c r="K8" s="67">
        <v>1938</v>
      </c>
      <c r="L8" s="31"/>
      <c r="M8" s="31"/>
      <c r="N8" s="31"/>
      <c r="O8" s="31"/>
      <c r="P8" s="31"/>
      <c r="Q8" s="31"/>
    </row>
    <row r="9" spans="1:17" ht="13" thickTop="1">
      <c r="A9" s="30"/>
      <c r="B9" s="29"/>
      <c r="C9" s="28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>
      <c r="A10" s="64" t="s">
        <v>70</v>
      </c>
      <c r="B10" s="63"/>
      <c r="C10" s="63"/>
      <c r="D10" s="62" t="s">
        <v>69</v>
      </c>
      <c r="E10" s="61">
        <v>154</v>
      </c>
      <c r="F10" s="61">
        <f>'a-7'!$N21-'a-7'!$C21+'a-7'!$C17</f>
        <v>1111</v>
      </c>
      <c r="G10" s="61">
        <f>'a-7'!$N25-'a-7'!$C25+'a-7'!$C21</f>
        <v>959</v>
      </c>
      <c r="H10" s="61">
        <f>'a-7'!$N29-'a-7'!$C29+'a-7'!$C25</f>
        <v>458</v>
      </c>
      <c r="I10" s="61">
        <f>'a-7'!$N33-'a-7'!$C33+'a-7'!$C29</f>
        <v>-1295</v>
      </c>
      <c r="J10" s="61">
        <f>'a-7'!$N37-'a-7'!$C37+'a-7'!$C33</f>
        <v>-207</v>
      </c>
      <c r="K10" s="61">
        <f>'a-7'!$N41-'a-7'!$C41+'a-7'!$C37</f>
        <v>-433</v>
      </c>
      <c r="L10" s="48"/>
      <c r="M10" s="48"/>
    </row>
    <row r="11" spans="1:17" ht="24">
      <c r="A11" s="66"/>
      <c r="B11" s="65" t="s">
        <v>68</v>
      </c>
      <c r="C11" s="63"/>
      <c r="D11" s="62" t="s">
        <v>67</v>
      </c>
      <c r="E11" s="61">
        <f>'a-7'!D17</f>
        <v>154</v>
      </c>
      <c r="F11" s="61">
        <f>'a-7'!D21-'a-7'!D17</f>
        <v>700</v>
      </c>
      <c r="G11" s="61">
        <f>'a-7'!D25-'a-7'!D21</f>
        <v>453</v>
      </c>
      <c r="H11" s="61">
        <f>'a-7'!D29-'a-7'!D25</f>
        <v>-261</v>
      </c>
      <c r="I11" s="61">
        <f>'a-7'!D33-'a-7'!D29</f>
        <v>-328</v>
      </c>
      <c r="J11" s="61">
        <f>'a-7'!D37-'a-7'!D33</f>
        <v>-365</v>
      </c>
      <c r="K11" s="61">
        <f>'a-7'!D41-'a-7'!D37</f>
        <v>-353</v>
      </c>
      <c r="L11" s="48"/>
      <c r="M11" s="48"/>
    </row>
    <row r="12" spans="1:17">
      <c r="A12" s="66"/>
      <c r="B12" s="63" t="s">
        <v>66</v>
      </c>
      <c r="C12" s="63"/>
      <c r="D12" s="62" t="s">
        <v>65</v>
      </c>
      <c r="E12" s="61"/>
      <c r="F12" s="61"/>
      <c r="G12" s="61">
        <v>346</v>
      </c>
      <c r="H12" s="61">
        <v>149</v>
      </c>
      <c r="I12" s="61">
        <v>-45</v>
      </c>
      <c r="J12" s="61">
        <v>0</v>
      </c>
      <c r="K12" s="61">
        <v>-160</v>
      </c>
      <c r="L12" s="48"/>
      <c r="M12" s="48"/>
    </row>
    <row r="13" spans="1:17" ht="48">
      <c r="A13" s="66"/>
      <c r="B13" s="65" t="s">
        <v>64</v>
      </c>
      <c r="C13" s="63"/>
      <c r="D13" s="62" t="s">
        <v>63</v>
      </c>
      <c r="E13" s="61"/>
      <c r="F13" s="61"/>
      <c r="G13" s="61">
        <f>-('a-7'!P25-'a-7'!P21)</f>
        <v>-120</v>
      </c>
      <c r="H13" s="61">
        <f>-('a-7'!P29-'a-7'!P25)</f>
        <v>-718</v>
      </c>
      <c r="I13" s="61">
        <f>-('a-7'!P33-'a-7'!P29)</f>
        <v>-267</v>
      </c>
      <c r="J13" s="61">
        <f>-('a-7'!P37-'a-7'!P33)</f>
        <v>60</v>
      </c>
      <c r="K13" s="61">
        <f>-('a-7'!P41-'a-7'!P37)</f>
        <v>1045</v>
      </c>
      <c r="L13" s="48"/>
      <c r="M13" s="48"/>
    </row>
    <row r="14" spans="1:17" ht="36">
      <c r="A14" s="66"/>
      <c r="B14" s="65" t="s">
        <v>62</v>
      </c>
      <c r="C14" s="63"/>
      <c r="D14" s="62" t="s">
        <v>61</v>
      </c>
      <c r="E14" s="61">
        <f t="shared" ref="E14:K14" si="0">E10+E13</f>
        <v>154</v>
      </c>
      <c r="F14" s="61">
        <f t="shared" si="0"/>
        <v>1111</v>
      </c>
      <c r="G14" s="61">
        <f t="shared" si="0"/>
        <v>839</v>
      </c>
      <c r="H14" s="61">
        <f t="shared" si="0"/>
        <v>-260</v>
      </c>
      <c r="I14" s="61">
        <f t="shared" si="0"/>
        <v>-1562</v>
      </c>
      <c r="J14" s="61">
        <f t="shared" si="0"/>
        <v>-147</v>
      </c>
      <c r="K14" s="61">
        <f t="shared" si="0"/>
        <v>612</v>
      </c>
      <c r="L14" s="48"/>
      <c r="M14" s="48"/>
    </row>
    <row r="15" spans="1:17" ht="24">
      <c r="A15" s="66"/>
      <c r="B15" s="65" t="s">
        <v>60</v>
      </c>
      <c r="C15" s="63"/>
      <c r="D15" s="62" t="s">
        <v>59</v>
      </c>
      <c r="E15" s="61"/>
      <c r="F15" s="61">
        <v>1441</v>
      </c>
      <c r="G15" s="61">
        <v>48</v>
      </c>
      <c r="H15" s="61">
        <v>-362</v>
      </c>
      <c r="I15" s="61">
        <v>-367</v>
      </c>
      <c r="J15" s="61">
        <v>-385</v>
      </c>
      <c r="K15" s="61">
        <v>-375</v>
      </c>
      <c r="L15" s="48"/>
      <c r="M15" s="48"/>
    </row>
    <row r="16" spans="1:17">
      <c r="A16" s="66"/>
      <c r="B16" s="65"/>
      <c r="C16" s="63"/>
      <c r="D16" s="62"/>
      <c r="E16" s="61"/>
      <c r="F16" s="61"/>
      <c r="G16" s="61"/>
      <c r="H16" s="61"/>
      <c r="I16" s="61"/>
      <c r="J16" s="61"/>
      <c r="K16" s="61"/>
      <c r="L16" s="48"/>
      <c r="M16" s="48"/>
    </row>
    <row r="17" spans="1:13">
      <c r="A17" s="64" t="s">
        <v>58</v>
      </c>
      <c r="B17" s="63"/>
      <c r="C17" s="63"/>
      <c r="D17" s="62" t="s">
        <v>57</v>
      </c>
      <c r="E17" s="61"/>
      <c r="F17" s="61">
        <f>'a-7'!C21-'a-7'!C17</f>
        <v>166</v>
      </c>
      <c r="G17" s="61">
        <f>'a-7'!C25-'a-7'!C21</f>
        <v>1979</v>
      </c>
      <c r="H17" s="61">
        <f>'a-7'!C29-'a-7'!C25</f>
        <v>2715</v>
      </c>
      <c r="I17" s="61">
        <f>'a-7'!C33-'a-7'!C29</f>
        <v>4646</v>
      </c>
      <c r="J17" s="61">
        <f>'a-7'!C37-'a-7'!C33</f>
        <v>2494</v>
      </c>
      <c r="K17" s="61">
        <f>'a-7'!C41-'a-7'!C37</f>
        <v>-67</v>
      </c>
      <c r="L17" s="48"/>
      <c r="M17" s="48"/>
    </row>
    <row r="18" spans="1:13" ht="12.75" customHeight="1">
      <c r="A18" s="547" t="s">
        <v>56</v>
      </c>
      <c r="B18" s="547"/>
      <c r="C18" s="63"/>
      <c r="D18" s="62"/>
      <c r="E18" s="61"/>
      <c r="F18" s="61"/>
      <c r="G18" s="61"/>
      <c r="H18" s="61"/>
      <c r="I18" s="61"/>
      <c r="J18" s="61"/>
      <c r="K18" s="61"/>
      <c r="L18" s="48"/>
      <c r="M18" s="48"/>
    </row>
    <row r="19" spans="1:13" s="56" customFormat="1" ht="39" customHeight="1">
      <c r="A19" s="546" t="s">
        <v>55</v>
      </c>
      <c r="B19" s="546"/>
      <c r="C19" s="60"/>
      <c r="D19" s="59" t="s">
        <v>54</v>
      </c>
      <c r="E19" s="58">
        <f t="shared" ref="E19:K19" si="1">E14+E17</f>
        <v>154</v>
      </c>
      <c r="F19" s="58">
        <f t="shared" si="1"/>
        <v>1277</v>
      </c>
      <c r="G19" s="58">
        <f t="shared" si="1"/>
        <v>2818</v>
      </c>
      <c r="H19" s="58">
        <f t="shared" si="1"/>
        <v>2455</v>
      </c>
      <c r="I19" s="58">
        <f t="shared" si="1"/>
        <v>3084</v>
      </c>
      <c r="J19" s="58">
        <f t="shared" si="1"/>
        <v>2347</v>
      </c>
      <c r="K19" s="58">
        <f t="shared" si="1"/>
        <v>545</v>
      </c>
      <c r="L19" s="57"/>
      <c r="M19" s="57"/>
    </row>
    <row r="20" spans="1:13" s="51" customFormat="1" ht="13" thickBot="1">
      <c r="A20" s="55"/>
      <c r="B20" s="55"/>
      <c r="C20" s="55"/>
      <c r="D20" s="54"/>
      <c r="E20" s="53"/>
      <c r="F20" s="53"/>
      <c r="G20" s="53"/>
      <c r="H20" s="53"/>
      <c r="I20" s="53"/>
      <c r="J20" s="53"/>
      <c r="K20" s="53"/>
      <c r="L20" s="52"/>
      <c r="M20" s="52"/>
    </row>
    <row r="21" spans="1:13" ht="13" thickTop="1">
      <c r="A21" s="50"/>
      <c r="B21" s="50"/>
      <c r="C21" s="50"/>
      <c r="D21" s="49"/>
      <c r="E21" s="49"/>
      <c r="F21" s="49"/>
      <c r="G21" s="49"/>
      <c r="H21" s="49"/>
      <c r="I21" s="49"/>
      <c r="J21" s="49"/>
      <c r="K21" s="49"/>
      <c r="L21" s="48"/>
      <c r="M21" s="48"/>
    </row>
    <row r="22" spans="1:13">
      <c r="A22" s="50"/>
      <c r="B22" s="50"/>
      <c r="C22" s="50"/>
      <c r="D22" s="49"/>
      <c r="E22" s="49"/>
      <c r="F22" s="49"/>
      <c r="G22" s="49"/>
      <c r="H22" s="49"/>
      <c r="I22" s="49"/>
      <c r="J22" s="49"/>
      <c r="K22" s="49"/>
      <c r="L22" s="48"/>
      <c r="M22" s="48"/>
    </row>
    <row r="23" spans="1:13">
      <c r="A23" s="50"/>
      <c r="B23" s="50"/>
      <c r="C23" s="50"/>
      <c r="D23" s="49"/>
      <c r="E23" s="49"/>
      <c r="F23" s="49"/>
      <c r="G23" s="49"/>
      <c r="H23" s="49"/>
      <c r="I23" s="49"/>
      <c r="J23" s="49"/>
      <c r="K23" s="49"/>
      <c r="L23" s="48"/>
      <c r="M23" s="48"/>
    </row>
    <row r="24" spans="1:13">
      <c r="B24" s="47"/>
      <c r="C24" s="47"/>
      <c r="D24" s="45"/>
      <c r="E24" s="45"/>
      <c r="F24" s="44"/>
      <c r="G24" s="44"/>
      <c r="H24" s="44"/>
      <c r="I24" s="44"/>
      <c r="J24" s="44"/>
      <c r="K24" s="44"/>
      <c r="L24" s="48"/>
      <c r="M24" s="48"/>
    </row>
    <row r="25" spans="1:13">
      <c r="B25" s="47"/>
      <c r="C25" s="47"/>
      <c r="D25" s="45"/>
      <c r="E25" s="45"/>
      <c r="F25" s="44"/>
      <c r="G25" s="44"/>
      <c r="H25" s="44"/>
      <c r="I25" s="44"/>
      <c r="J25" s="44"/>
      <c r="K25" s="44"/>
      <c r="L25" s="48"/>
      <c r="M25" s="48"/>
    </row>
    <row r="26" spans="1:13">
      <c r="B26" s="47"/>
      <c r="C26" s="47"/>
      <c r="E26" s="45"/>
      <c r="F26" s="44"/>
      <c r="G26" s="44"/>
      <c r="H26" s="44"/>
      <c r="I26" s="44"/>
      <c r="J26" s="44"/>
      <c r="K26" s="44"/>
      <c r="L26" s="48"/>
      <c r="M26" s="48"/>
    </row>
    <row r="27" spans="1:13">
      <c r="B27" s="47"/>
      <c r="C27" s="47"/>
      <c r="E27" s="45"/>
      <c r="F27" s="44"/>
      <c r="G27" s="44"/>
      <c r="H27" s="44"/>
      <c r="I27" s="44"/>
      <c r="J27" s="44"/>
      <c r="K27" s="44"/>
      <c r="L27" s="48"/>
      <c r="M27" s="48"/>
    </row>
    <row r="28" spans="1:13">
      <c r="B28" s="47"/>
      <c r="C28" s="47"/>
      <c r="E28" s="45"/>
      <c r="F28" s="44"/>
      <c r="G28" s="44"/>
      <c r="H28" s="44"/>
      <c r="I28" s="44"/>
      <c r="J28" s="44"/>
      <c r="K28" s="44"/>
      <c r="L28" s="48"/>
      <c r="M28" s="48"/>
    </row>
    <row r="29" spans="1:13">
      <c r="B29" s="47"/>
      <c r="C29" s="47"/>
      <c r="E29" s="45"/>
      <c r="F29" s="44"/>
      <c r="G29" s="44"/>
      <c r="H29" s="44"/>
      <c r="I29" s="44"/>
      <c r="J29" s="44"/>
      <c r="K29" s="44"/>
      <c r="L29" s="48"/>
      <c r="M29" s="48"/>
    </row>
    <row r="30" spans="1:13">
      <c r="B30" s="47"/>
      <c r="C30" s="47"/>
      <c r="E30" s="45"/>
      <c r="F30" s="44"/>
      <c r="G30" s="44"/>
      <c r="H30" s="44"/>
      <c r="I30" s="44"/>
      <c r="J30" s="44"/>
      <c r="K30" s="44"/>
      <c r="L30" s="48"/>
      <c r="M30" s="48"/>
    </row>
    <row r="31" spans="1:13">
      <c r="B31" s="47"/>
      <c r="C31" s="46"/>
      <c r="E31" s="45"/>
      <c r="F31" s="44"/>
      <c r="G31" s="44"/>
      <c r="H31" s="44"/>
      <c r="I31" s="44"/>
      <c r="J31" s="44"/>
      <c r="K31" s="44"/>
      <c r="L31" s="48"/>
      <c r="M31" s="48"/>
    </row>
    <row r="32" spans="1:13">
      <c r="B32" s="47"/>
      <c r="C32" s="47"/>
      <c r="E32" s="45"/>
      <c r="F32" s="44"/>
      <c r="G32" s="44"/>
      <c r="H32" s="44"/>
      <c r="I32" s="44"/>
      <c r="J32" s="44"/>
      <c r="K32" s="44"/>
    </row>
    <row r="33" spans="2:11">
      <c r="B33" s="47"/>
      <c r="C33" s="47"/>
      <c r="E33" s="45"/>
      <c r="F33" s="44"/>
      <c r="G33" s="44"/>
      <c r="H33" s="44"/>
      <c r="I33" s="44"/>
      <c r="J33" s="44"/>
      <c r="K33" s="44"/>
    </row>
    <row r="34" spans="2:11">
      <c r="B34" s="47"/>
      <c r="C34" s="47"/>
      <c r="E34" s="45"/>
      <c r="F34" s="44"/>
      <c r="G34" s="44"/>
      <c r="H34" s="44"/>
      <c r="I34" s="44"/>
      <c r="J34" s="44"/>
      <c r="K34" s="44"/>
    </row>
    <row r="35" spans="2:11">
      <c r="B35" s="47"/>
      <c r="C35" s="46"/>
      <c r="E35" s="45"/>
      <c r="F35" s="44"/>
      <c r="G35" s="44"/>
      <c r="H35" s="44"/>
      <c r="I35" s="44"/>
      <c r="J35" s="44"/>
      <c r="K35" s="44"/>
    </row>
  </sheetData>
  <sheetProtection sheet="1" objects="1" scenarios="1"/>
  <mergeCells count="2">
    <mergeCell ref="A19:B19"/>
    <mergeCell ref="A18:B18"/>
  </mergeCells>
  <pageMargins left="0.78740157480314965" right="0.78740157480314965" top="0.98425196850393704" bottom="0.98425196850393704" header="0" footer="0.51181102362204722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1"/>
  <sheetViews>
    <sheetView topLeftCell="A12" zoomScale="150" zoomScaleNormal="150" zoomScalePageLayoutView="150" workbookViewId="0">
      <selection activeCell="A6" sqref="A6"/>
    </sheetView>
  </sheetViews>
  <sheetFormatPr baseColWidth="10" defaultRowHeight="12" x14ac:dyDescent="0"/>
  <cols>
    <col min="1" max="1" width="3.6640625" style="2" customWidth="1"/>
    <col min="2" max="2" width="29.1640625" style="2" customWidth="1"/>
    <col min="3" max="3" width="6" style="42" customWidth="1"/>
    <col min="4" max="16" width="5.5" style="2" customWidth="1"/>
    <col min="17" max="17" width="7.5" style="2" customWidth="1"/>
    <col min="18" max="18" width="8.33203125" style="2" customWidth="1"/>
    <col min="19" max="16384" width="10.83203125" style="2"/>
  </cols>
  <sheetData>
    <row r="2" spans="1:18">
      <c r="R2" s="78"/>
    </row>
    <row r="4" spans="1:18">
      <c r="A4" s="102" t="s">
        <v>123</v>
      </c>
      <c r="C4" s="6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>
      <c r="B5" s="102"/>
      <c r="C5" s="6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8">
      <c r="A6" s="101" t="s">
        <v>122</v>
      </c>
      <c r="C6" s="44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2"/>
    </row>
    <row r="7" spans="1:18" ht="13" thickBot="1">
      <c r="A7" s="100"/>
      <c r="B7" s="100"/>
      <c r="C7" s="54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18" s="96" customFormat="1" ht="18.75" customHeight="1" thickTop="1" thickBot="1">
      <c r="A8" s="99"/>
      <c r="B8" s="99"/>
      <c r="C8" s="99"/>
      <c r="D8" s="99">
        <v>1925</v>
      </c>
      <c r="E8" s="99">
        <v>1926</v>
      </c>
      <c r="F8" s="99">
        <v>1927</v>
      </c>
      <c r="G8" s="99">
        <v>1928</v>
      </c>
      <c r="H8" s="99">
        <v>1929</v>
      </c>
      <c r="I8" s="99">
        <v>1930</v>
      </c>
      <c r="J8" s="99">
        <v>1931</v>
      </c>
      <c r="K8" s="99">
        <v>1932</v>
      </c>
      <c r="L8" s="99">
        <v>1933</v>
      </c>
      <c r="M8" s="99">
        <v>1934</v>
      </c>
      <c r="N8" s="99">
        <v>1935</v>
      </c>
      <c r="O8" s="99">
        <v>1936</v>
      </c>
      <c r="P8" s="99">
        <v>1937</v>
      </c>
      <c r="Q8" s="99">
        <v>1938</v>
      </c>
    </row>
    <row r="9" spans="1:18" s="96" customFormat="1" ht="6.75" customHeight="1" thickTop="1"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pans="1:18" s="96" customFormat="1">
      <c r="A10" s="98" t="s">
        <v>38</v>
      </c>
      <c r="B10" s="98" t="s">
        <v>121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8" ht="11.75" customHeight="1">
      <c r="B11" s="93" t="s">
        <v>120</v>
      </c>
      <c r="C11" s="85" t="s">
        <v>21</v>
      </c>
      <c r="D11" s="88">
        <f>-'a-1d'!E19</f>
        <v>-340.4</v>
      </c>
      <c r="E11" s="88">
        <f>-'a-1d'!F19</f>
        <v>-329.4</v>
      </c>
      <c r="F11" s="88">
        <f>-'a-1d'!G19</f>
        <v>-123.1</v>
      </c>
      <c r="G11" s="88">
        <f>-'a-1d'!H19</f>
        <v>-100.5</v>
      </c>
      <c r="H11" s="88">
        <f>-'a-1d'!I19</f>
        <v>-364</v>
      </c>
      <c r="I11" s="88">
        <f>-'a-1d'!J19</f>
        <v>-487.1</v>
      </c>
      <c r="J11" s="88">
        <f>-'a-1d'!K19</f>
        <v>0</v>
      </c>
      <c r="K11" s="88">
        <f>-'a-1d'!L19</f>
        <v>0</v>
      </c>
      <c r="L11" s="88">
        <f>-'a-1d'!M19</f>
        <v>-92.1</v>
      </c>
      <c r="M11" s="88">
        <f>-'a-1d'!N19</f>
        <v>-1039.5999999999999</v>
      </c>
      <c r="N11" s="88">
        <f>-'a-1d'!O19</f>
        <v>-2065.6999999999998</v>
      </c>
      <c r="O11" s="88">
        <f>-'a-1d'!P19</f>
        <v>-3003.8</v>
      </c>
      <c r="P11" s="88">
        <f>-'a-1d'!Q19</f>
        <v>-3959.9</v>
      </c>
      <c r="Q11" s="88">
        <f>-'a-1d'!R19</f>
        <v>-7534.3</v>
      </c>
    </row>
    <row r="12" spans="1:18" ht="11.75" customHeight="1">
      <c r="A12" s="93"/>
      <c r="B12" s="93" t="s">
        <v>119</v>
      </c>
      <c r="C12" s="85" t="s">
        <v>18</v>
      </c>
      <c r="D12" s="88">
        <f>'a-1d'!E20</f>
        <v>-109.40000000000043</v>
      </c>
      <c r="E12" s="88">
        <f>'a-1d'!F20</f>
        <v>-523.69999999999993</v>
      </c>
      <c r="F12" s="88">
        <f>'a-1d'!G20</f>
        <v>-230.19999999999939</v>
      </c>
      <c r="G12" s="88">
        <f>'a-1d'!H20</f>
        <v>-1136.6000000000001</v>
      </c>
      <c r="H12" s="88">
        <f>'a-1d'!I20</f>
        <v>-311.49999999999977</v>
      </c>
      <c r="I12" s="88">
        <f>'a-1d'!J20</f>
        <v>-584.19999999999925</v>
      </c>
      <c r="J12" s="88">
        <f>'a-1d'!K20</f>
        <v>-600.59999999999934</v>
      </c>
      <c r="K12" s="88">
        <f>'a-1d'!L20</f>
        <v>-563.20000000000039</v>
      </c>
      <c r="L12" s="88">
        <f>'a-1d'!M20</f>
        <v>-265.00000000000023</v>
      </c>
      <c r="M12" s="88">
        <f>'a-1d'!N20</f>
        <v>-426.20000000000073</v>
      </c>
      <c r="N12" s="88">
        <f>'a-1d'!O20</f>
        <v>2.0999999999999091</v>
      </c>
      <c r="O12" s="88">
        <f>'a-1d'!P20</f>
        <v>204.40000000000055</v>
      </c>
      <c r="P12" s="88">
        <f>'a-1d'!Q20</f>
        <v>68.100000000001728</v>
      </c>
      <c r="Q12" s="88">
        <f>'a-1d'!R20</f>
        <v>-3031.4999999999991</v>
      </c>
    </row>
    <row r="13" spans="1:18" ht="21" customHeight="1">
      <c r="B13" s="86" t="s">
        <v>118</v>
      </c>
      <c r="C13" s="85" t="s">
        <v>117</v>
      </c>
      <c r="D13" s="88">
        <f t="shared" ref="D13:Q13" si="0">D11+D12</f>
        <v>-449.80000000000041</v>
      </c>
      <c r="E13" s="88">
        <f t="shared" si="0"/>
        <v>-853.09999999999991</v>
      </c>
      <c r="F13" s="88">
        <f t="shared" si="0"/>
        <v>-353.29999999999939</v>
      </c>
      <c r="G13" s="88">
        <f t="shared" si="0"/>
        <v>-1237.1000000000001</v>
      </c>
      <c r="H13" s="88">
        <f t="shared" si="0"/>
        <v>-675.49999999999977</v>
      </c>
      <c r="I13" s="88">
        <f t="shared" si="0"/>
        <v>-1071.2999999999993</v>
      </c>
      <c r="J13" s="88">
        <f t="shared" si="0"/>
        <v>-600.59999999999934</v>
      </c>
      <c r="K13" s="88">
        <f t="shared" si="0"/>
        <v>-563.20000000000039</v>
      </c>
      <c r="L13" s="88">
        <f t="shared" si="0"/>
        <v>-357.10000000000025</v>
      </c>
      <c r="M13" s="88">
        <f t="shared" si="0"/>
        <v>-1465.8000000000006</v>
      </c>
      <c r="N13" s="88">
        <f t="shared" si="0"/>
        <v>-2063.6</v>
      </c>
      <c r="O13" s="88">
        <f t="shared" si="0"/>
        <v>-2799.3999999999996</v>
      </c>
      <c r="P13" s="88">
        <f t="shared" si="0"/>
        <v>-3891.7999999999984</v>
      </c>
      <c r="Q13" s="88">
        <f t="shared" si="0"/>
        <v>-10565.8</v>
      </c>
    </row>
    <row r="14" spans="1:18" ht="13.5" customHeight="1">
      <c r="A14" s="90" t="s">
        <v>116</v>
      </c>
      <c r="B14" s="90" t="s">
        <v>115</v>
      </c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8" ht="21" customHeight="1">
      <c r="A15" s="93"/>
      <c r="B15" s="86" t="s">
        <v>114</v>
      </c>
      <c r="C15" s="85" t="s">
        <v>113</v>
      </c>
      <c r="D15" s="88">
        <v>1.1000000000000001</v>
      </c>
      <c r="E15" s="88">
        <v>135.69999999999999</v>
      </c>
      <c r="F15" s="88">
        <v>298.60000000000002</v>
      </c>
      <c r="G15" s="88">
        <v>304.2</v>
      </c>
      <c r="H15" s="88">
        <v>340.3</v>
      </c>
      <c r="I15" s="88">
        <v>227.7</v>
      </c>
      <c r="J15" s="88">
        <v>223.6</v>
      </c>
      <c r="K15" s="88">
        <v>213.3</v>
      </c>
      <c r="L15" s="88">
        <v>212.8</v>
      </c>
      <c r="M15" s="88">
        <v>120.6</v>
      </c>
      <c r="N15" s="88">
        <v>201.4</v>
      </c>
      <c r="O15" s="88">
        <v>207.3</v>
      </c>
      <c r="P15" s="88">
        <v>215.3</v>
      </c>
      <c r="Q15" s="88">
        <v>224.6</v>
      </c>
    </row>
    <row r="16" spans="1:18" ht="11.75" customHeight="1">
      <c r="A16" s="93"/>
      <c r="B16" s="93" t="s">
        <v>112</v>
      </c>
      <c r="C16" s="85" t="s">
        <v>111</v>
      </c>
      <c r="D16" s="88">
        <v>72.2</v>
      </c>
      <c r="E16" s="88">
        <v>64.2</v>
      </c>
      <c r="F16" s="88">
        <v>65.5</v>
      </c>
      <c r="G16" s="88">
        <v>65.2</v>
      </c>
      <c r="H16" s="88">
        <v>65.3</v>
      </c>
      <c r="I16" s="88">
        <v>18</v>
      </c>
      <c r="J16" s="88"/>
      <c r="K16" s="88"/>
      <c r="L16" s="88">
        <v>18</v>
      </c>
      <c r="M16" s="84" t="s">
        <v>86</v>
      </c>
      <c r="N16" s="84" t="s">
        <v>86</v>
      </c>
      <c r="O16" s="84" t="s">
        <v>86</v>
      </c>
      <c r="P16" s="84" t="s">
        <v>86</v>
      </c>
      <c r="Q16" s="84" t="s">
        <v>86</v>
      </c>
    </row>
    <row r="17" spans="1:17" ht="11.75" customHeight="1">
      <c r="A17" s="93"/>
      <c r="B17" s="93" t="s">
        <v>110</v>
      </c>
      <c r="C17" s="85" t="s">
        <v>109</v>
      </c>
      <c r="D17" s="88">
        <v>9</v>
      </c>
      <c r="E17" s="88">
        <v>9</v>
      </c>
      <c r="F17" s="88">
        <v>9</v>
      </c>
      <c r="G17" s="88">
        <v>9</v>
      </c>
      <c r="H17" s="88">
        <v>9</v>
      </c>
      <c r="I17" s="88">
        <v>0.9</v>
      </c>
      <c r="J17" s="88">
        <v>0.9</v>
      </c>
      <c r="K17" s="88">
        <v>1</v>
      </c>
      <c r="L17" s="88">
        <v>1</v>
      </c>
      <c r="M17" s="84" t="s">
        <v>86</v>
      </c>
      <c r="N17" s="84" t="s">
        <v>86</v>
      </c>
      <c r="O17" s="84" t="s">
        <v>86</v>
      </c>
      <c r="P17" s="84" t="s">
        <v>86</v>
      </c>
      <c r="Q17" s="84" t="s">
        <v>86</v>
      </c>
    </row>
    <row r="18" spans="1:17" ht="11.75" customHeight="1">
      <c r="A18" s="93"/>
      <c r="B18" s="93" t="s">
        <v>108</v>
      </c>
      <c r="C18" s="85" t="s">
        <v>107</v>
      </c>
      <c r="D18" s="88"/>
      <c r="E18" s="88">
        <v>102.7</v>
      </c>
      <c r="F18" s="88">
        <v>94.3</v>
      </c>
      <c r="G18" s="88">
        <v>40.4</v>
      </c>
      <c r="H18" s="88">
        <v>14.8</v>
      </c>
      <c r="I18" s="88">
        <v>60</v>
      </c>
      <c r="J18" s="88">
        <v>17</v>
      </c>
      <c r="K18" s="88">
        <v>7.7</v>
      </c>
      <c r="L18" s="84" t="s">
        <v>73</v>
      </c>
      <c r="M18" s="84" t="s">
        <v>73</v>
      </c>
      <c r="N18" s="84" t="s">
        <v>73</v>
      </c>
      <c r="O18" s="84" t="s">
        <v>73</v>
      </c>
      <c r="P18" s="84" t="s">
        <v>73</v>
      </c>
      <c r="Q18" s="84" t="s">
        <v>73</v>
      </c>
    </row>
    <row r="19" spans="1:17" ht="11.75" customHeight="1">
      <c r="A19" s="93"/>
      <c r="B19" s="93" t="s">
        <v>106</v>
      </c>
      <c r="C19" s="85" t="s">
        <v>105</v>
      </c>
      <c r="D19" s="88">
        <v>9.1</v>
      </c>
      <c r="E19" s="88">
        <v>1.1000000000000001</v>
      </c>
      <c r="F19" s="88">
        <v>11.3</v>
      </c>
      <c r="G19" s="88">
        <v>104.5</v>
      </c>
      <c r="H19" s="88">
        <v>0</v>
      </c>
      <c r="I19" s="88">
        <v>12.2</v>
      </c>
      <c r="J19" s="88">
        <v>60.2</v>
      </c>
      <c r="K19" s="88">
        <v>40.4</v>
      </c>
      <c r="L19" s="88">
        <v>25.5</v>
      </c>
      <c r="M19" s="88">
        <v>52.6</v>
      </c>
      <c r="N19" s="88">
        <v>1.1000000000000001</v>
      </c>
      <c r="O19" s="88">
        <v>94.3</v>
      </c>
      <c r="P19" s="88">
        <v>3</v>
      </c>
      <c r="Q19" s="88">
        <v>103.2</v>
      </c>
    </row>
    <row r="20" spans="1:17" ht="11.75" customHeight="1">
      <c r="A20" s="93"/>
      <c r="B20" s="93" t="s">
        <v>104</v>
      </c>
      <c r="C20" s="85" t="s">
        <v>103</v>
      </c>
      <c r="D20" s="84" t="s">
        <v>73</v>
      </c>
      <c r="E20" s="84" t="s">
        <v>73</v>
      </c>
      <c r="F20" s="84" t="s">
        <v>73</v>
      </c>
      <c r="G20" s="84" t="s">
        <v>73</v>
      </c>
      <c r="H20" s="84" t="s">
        <v>73</v>
      </c>
      <c r="I20" s="88">
        <v>465</v>
      </c>
      <c r="J20" s="88">
        <v>420</v>
      </c>
      <c r="K20" s="88">
        <v>420</v>
      </c>
      <c r="L20" s="88">
        <v>100</v>
      </c>
      <c r="M20" s="84" t="s">
        <v>73</v>
      </c>
      <c r="N20" s="84" t="s">
        <v>73</v>
      </c>
      <c r="O20" s="84" t="s">
        <v>73</v>
      </c>
      <c r="P20" s="84" t="s">
        <v>73</v>
      </c>
      <c r="Q20" s="84" t="s">
        <v>73</v>
      </c>
    </row>
    <row r="21" spans="1:17" ht="20.25" customHeight="1">
      <c r="A21" s="93"/>
      <c r="B21" s="86" t="s">
        <v>102</v>
      </c>
      <c r="C21" s="85" t="s">
        <v>101</v>
      </c>
      <c r="D21" s="88">
        <f t="shared" ref="D21:L21" si="1">SUM(D15:D20)</f>
        <v>91.399999999999991</v>
      </c>
      <c r="E21" s="88">
        <f t="shared" si="1"/>
        <v>312.7</v>
      </c>
      <c r="F21" s="88">
        <f t="shared" si="1"/>
        <v>478.70000000000005</v>
      </c>
      <c r="G21" s="88">
        <f t="shared" si="1"/>
        <v>523.29999999999995</v>
      </c>
      <c r="H21" s="88">
        <f t="shared" si="1"/>
        <v>429.40000000000003</v>
      </c>
      <c r="I21" s="88">
        <f t="shared" si="1"/>
        <v>783.8</v>
      </c>
      <c r="J21" s="88">
        <f t="shared" si="1"/>
        <v>721.7</v>
      </c>
      <c r="K21" s="88">
        <f t="shared" si="1"/>
        <v>682.4</v>
      </c>
      <c r="L21" s="88">
        <f t="shared" si="1"/>
        <v>357.3</v>
      </c>
      <c r="M21" s="84" t="s">
        <v>86</v>
      </c>
      <c r="N21" s="84" t="s">
        <v>86</v>
      </c>
      <c r="O21" s="84" t="s">
        <v>86</v>
      </c>
      <c r="P21" s="84" t="s">
        <v>86</v>
      </c>
      <c r="Q21" s="84" t="s">
        <v>86</v>
      </c>
    </row>
    <row r="22" spans="1:17" ht="13.5" customHeight="1">
      <c r="A22" s="90" t="s">
        <v>100</v>
      </c>
      <c r="B22" s="90" t="s">
        <v>99</v>
      </c>
      <c r="C22" s="85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ht="21" customHeight="1">
      <c r="A23" s="93"/>
      <c r="B23" s="86" t="s">
        <v>98</v>
      </c>
      <c r="C23" s="85" t="s">
        <v>97</v>
      </c>
      <c r="D23" s="88">
        <v>20.9</v>
      </c>
      <c r="E23" s="88">
        <v>13.7</v>
      </c>
      <c r="F23" s="88">
        <v>29.6</v>
      </c>
      <c r="G23" s="88">
        <v>28.2</v>
      </c>
      <c r="H23" s="88">
        <v>32</v>
      </c>
      <c r="I23" s="88">
        <v>39.200000000000003</v>
      </c>
      <c r="J23" s="88">
        <v>42.9</v>
      </c>
      <c r="K23" s="88">
        <v>45.8</v>
      </c>
      <c r="L23" s="84" t="s">
        <v>86</v>
      </c>
      <c r="M23" s="84" t="s">
        <v>86</v>
      </c>
      <c r="N23" s="84" t="s">
        <v>86</v>
      </c>
      <c r="O23" s="88">
        <v>21.1</v>
      </c>
      <c r="P23" s="88">
        <v>21</v>
      </c>
      <c r="Q23" s="88">
        <v>21</v>
      </c>
    </row>
    <row r="24" spans="1:17" ht="11.75" customHeight="1">
      <c r="A24" s="93"/>
      <c r="B24" s="93" t="s">
        <v>96</v>
      </c>
      <c r="C24" s="85" t="s">
        <v>95</v>
      </c>
      <c r="D24" s="88">
        <v>1.1000000000000001</v>
      </c>
      <c r="E24" s="88">
        <v>0.5</v>
      </c>
      <c r="F24" s="88">
        <v>1.1000000000000001</v>
      </c>
      <c r="G24" s="88">
        <v>0.8</v>
      </c>
      <c r="H24" s="84" t="s">
        <v>73</v>
      </c>
      <c r="I24" s="84" t="s">
        <v>73</v>
      </c>
      <c r="J24" s="84" t="s">
        <v>73</v>
      </c>
      <c r="K24" s="84" t="s">
        <v>73</v>
      </c>
      <c r="L24" s="84" t="s">
        <v>73</v>
      </c>
      <c r="M24" s="84" t="s">
        <v>73</v>
      </c>
      <c r="N24" s="84" t="s">
        <v>73</v>
      </c>
      <c r="O24" s="84" t="s">
        <v>73</v>
      </c>
      <c r="P24" s="84" t="s">
        <v>73</v>
      </c>
      <c r="Q24" s="84" t="s">
        <v>73</v>
      </c>
    </row>
    <row r="25" spans="1:17" ht="11.75" customHeight="1">
      <c r="A25" s="93"/>
      <c r="B25" s="93" t="s">
        <v>94</v>
      </c>
      <c r="C25" s="85" t="s">
        <v>93</v>
      </c>
      <c r="D25" s="84" t="s">
        <v>73</v>
      </c>
      <c r="E25" s="84" t="s">
        <v>73</v>
      </c>
      <c r="F25" s="84" t="s">
        <v>73</v>
      </c>
      <c r="G25" s="84" t="s">
        <v>73</v>
      </c>
      <c r="H25" s="84" t="s">
        <v>73</v>
      </c>
      <c r="I25" s="88">
        <v>17.7</v>
      </c>
      <c r="J25" s="88">
        <v>32</v>
      </c>
      <c r="K25" s="88">
        <v>37.1</v>
      </c>
      <c r="L25" s="84" t="s">
        <v>86</v>
      </c>
      <c r="M25" s="84" t="s">
        <v>86</v>
      </c>
      <c r="N25" s="84" t="s">
        <v>86</v>
      </c>
      <c r="O25" s="88">
        <v>10.199999999999999</v>
      </c>
      <c r="P25" s="88">
        <v>1</v>
      </c>
      <c r="Q25" s="88">
        <v>7.7</v>
      </c>
    </row>
    <row r="26" spans="1:17" ht="11.75" customHeight="1">
      <c r="A26" s="93"/>
      <c r="B26" s="93" t="s">
        <v>92</v>
      </c>
      <c r="C26" s="85" t="s">
        <v>91</v>
      </c>
      <c r="D26" s="84" t="s">
        <v>73</v>
      </c>
      <c r="E26" s="84" t="s">
        <v>73</v>
      </c>
      <c r="F26" s="84" t="s">
        <v>73</v>
      </c>
      <c r="G26" s="84" t="s">
        <v>73</v>
      </c>
      <c r="H26" s="88">
        <v>65.900000000000006</v>
      </c>
      <c r="I26" s="88">
        <v>66.3</v>
      </c>
      <c r="J26" s="88">
        <v>0.5</v>
      </c>
      <c r="K26" s="88">
        <v>2.8</v>
      </c>
      <c r="L26" s="84" t="s">
        <v>86</v>
      </c>
      <c r="M26" s="84" t="s">
        <v>86</v>
      </c>
      <c r="N26" s="84" t="s">
        <v>86</v>
      </c>
      <c r="O26" s="84" t="s">
        <v>86</v>
      </c>
      <c r="P26" s="84" t="s">
        <v>86</v>
      </c>
      <c r="Q26" s="84" t="s">
        <v>86</v>
      </c>
    </row>
    <row r="27" spans="1:17" ht="11.75" customHeight="1">
      <c r="A27" s="93"/>
      <c r="B27" s="93" t="s">
        <v>90</v>
      </c>
      <c r="C27" s="85" t="s">
        <v>89</v>
      </c>
      <c r="D27" s="88"/>
      <c r="E27" s="88">
        <v>9.1999999999999993</v>
      </c>
      <c r="F27" s="88">
        <v>0.2</v>
      </c>
      <c r="G27" s="88">
        <v>0</v>
      </c>
      <c r="H27" s="88">
        <v>1.1000000000000001</v>
      </c>
      <c r="I27" s="88">
        <v>4.9000000000000004</v>
      </c>
      <c r="J27" s="88"/>
      <c r="K27" s="88"/>
      <c r="L27" s="88"/>
      <c r="M27" s="88"/>
      <c r="N27" s="88"/>
      <c r="O27" s="88"/>
      <c r="P27" s="88"/>
      <c r="Q27" s="88"/>
    </row>
    <row r="28" spans="1:17" ht="11.75" customHeight="1">
      <c r="A28" s="93"/>
      <c r="B28" s="95" t="s">
        <v>88</v>
      </c>
      <c r="C28" s="85" t="s">
        <v>87</v>
      </c>
      <c r="D28" s="88">
        <f t="shared" ref="D28:K28" si="2">SUM(D23:D27)</f>
        <v>22</v>
      </c>
      <c r="E28" s="88">
        <f t="shared" si="2"/>
        <v>23.4</v>
      </c>
      <c r="F28" s="88">
        <f t="shared" si="2"/>
        <v>30.900000000000002</v>
      </c>
      <c r="G28" s="88">
        <f t="shared" si="2"/>
        <v>29</v>
      </c>
      <c r="H28" s="88">
        <f t="shared" si="2"/>
        <v>99</v>
      </c>
      <c r="I28" s="88">
        <f t="shared" si="2"/>
        <v>128.1</v>
      </c>
      <c r="J28" s="88">
        <f t="shared" si="2"/>
        <v>75.400000000000006</v>
      </c>
      <c r="K28" s="88">
        <f t="shared" si="2"/>
        <v>85.7</v>
      </c>
      <c r="L28" s="94">
        <v>33</v>
      </c>
      <c r="M28" s="94">
        <v>33</v>
      </c>
      <c r="N28" s="94">
        <v>33</v>
      </c>
      <c r="O28" s="84" t="s">
        <v>86</v>
      </c>
      <c r="P28" s="84" t="s">
        <v>86</v>
      </c>
      <c r="Q28" s="84" t="s">
        <v>86</v>
      </c>
    </row>
    <row r="29" spans="1:17" ht="20.25" customHeight="1">
      <c r="A29" s="93"/>
      <c r="B29" s="86" t="s">
        <v>85</v>
      </c>
      <c r="C29" s="85" t="s">
        <v>84</v>
      </c>
      <c r="D29" s="88">
        <f t="shared" ref="D29:L29" si="3">D21+D28</f>
        <v>113.39999999999999</v>
      </c>
      <c r="E29" s="88">
        <f t="shared" si="3"/>
        <v>336.09999999999997</v>
      </c>
      <c r="F29" s="88">
        <f t="shared" si="3"/>
        <v>509.6</v>
      </c>
      <c r="G29" s="88">
        <f t="shared" si="3"/>
        <v>552.29999999999995</v>
      </c>
      <c r="H29" s="88">
        <f t="shared" si="3"/>
        <v>528.40000000000009</v>
      </c>
      <c r="I29" s="88">
        <f t="shared" si="3"/>
        <v>911.9</v>
      </c>
      <c r="J29" s="88">
        <f t="shared" si="3"/>
        <v>797.1</v>
      </c>
      <c r="K29" s="88">
        <f t="shared" si="3"/>
        <v>768.1</v>
      </c>
      <c r="L29" s="88">
        <f t="shared" si="3"/>
        <v>390.3</v>
      </c>
      <c r="M29" s="88">
        <v>352</v>
      </c>
      <c r="N29" s="88">
        <v>348.4</v>
      </c>
      <c r="O29" s="88">
        <v>674.4</v>
      </c>
      <c r="P29" s="88">
        <v>624.4</v>
      </c>
      <c r="Q29" s="88">
        <v>928</v>
      </c>
    </row>
    <row r="30" spans="1:17" ht="13.5" customHeight="1">
      <c r="A30" s="90" t="s">
        <v>23</v>
      </c>
      <c r="B30" s="90" t="s">
        <v>83</v>
      </c>
      <c r="C30" s="85" t="s">
        <v>82</v>
      </c>
      <c r="D30" s="88">
        <f t="shared" ref="D30:Q30" si="4">D13+D29</f>
        <v>-336.40000000000043</v>
      </c>
      <c r="E30" s="88">
        <f t="shared" si="4"/>
        <v>-517</v>
      </c>
      <c r="F30" s="88">
        <f t="shared" si="4"/>
        <v>156.30000000000064</v>
      </c>
      <c r="G30" s="88">
        <f t="shared" si="4"/>
        <v>-684.80000000000018</v>
      </c>
      <c r="H30" s="88">
        <f t="shared" si="4"/>
        <v>-147.09999999999968</v>
      </c>
      <c r="I30" s="88">
        <f t="shared" si="4"/>
        <v>-159.3999999999993</v>
      </c>
      <c r="J30" s="88">
        <f t="shared" si="4"/>
        <v>196.50000000000068</v>
      </c>
      <c r="K30" s="88">
        <f t="shared" si="4"/>
        <v>204.89999999999964</v>
      </c>
      <c r="L30" s="88">
        <f t="shared" si="4"/>
        <v>33.199999999999761</v>
      </c>
      <c r="M30" s="88">
        <f t="shared" si="4"/>
        <v>-1113.8000000000006</v>
      </c>
      <c r="N30" s="88">
        <f t="shared" si="4"/>
        <v>-1715.1999999999998</v>
      </c>
      <c r="O30" s="88">
        <f t="shared" si="4"/>
        <v>-2124.9999999999995</v>
      </c>
      <c r="P30" s="88">
        <f t="shared" si="4"/>
        <v>-3267.3999999999983</v>
      </c>
      <c r="Q30" s="88">
        <f t="shared" si="4"/>
        <v>-9637.7999999999993</v>
      </c>
    </row>
    <row r="31" spans="1:17" ht="32.25" customHeight="1">
      <c r="A31" s="93"/>
      <c r="B31" s="86" t="s">
        <v>81</v>
      </c>
      <c r="C31" s="92" t="s">
        <v>80</v>
      </c>
      <c r="D31" s="91">
        <v>408.8</v>
      </c>
      <c r="E31" s="91">
        <v>-231</v>
      </c>
      <c r="F31" s="91">
        <v>182.3</v>
      </c>
      <c r="G31" s="91">
        <v>-535.5</v>
      </c>
      <c r="H31" s="91">
        <v>-975.7</v>
      </c>
      <c r="I31" s="91">
        <v>-1531.3</v>
      </c>
      <c r="J31" s="91">
        <v>17.7</v>
      </c>
      <c r="K31" s="91">
        <v>-255.7</v>
      </c>
      <c r="L31" s="91">
        <v>-102.9</v>
      </c>
      <c r="M31" s="91">
        <v>-659.5</v>
      </c>
      <c r="N31" s="91">
        <v>-1919.4</v>
      </c>
      <c r="O31" s="91">
        <v>-1322.7</v>
      </c>
      <c r="P31" s="91">
        <v>-3040.4</v>
      </c>
      <c r="Q31" s="91">
        <v>-11577.8</v>
      </c>
    </row>
    <row r="32" spans="1:17" ht="13.5" customHeight="1">
      <c r="A32" s="89" t="s">
        <v>20</v>
      </c>
      <c r="B32" s="90" t="s">
        <v>79</v>
      </c>
      <c r="C32" s="85" t="s">
        <v>54</v>
      </c>
      <c r="D32" s="84" t="s">
        <v>73</v>
      </c>
      <c r="E32" s="84" t="s">
        <v>73</v>
      </c>
      <c r="F32" s="84" t="s">
        <v>73</v>
      </c>
      <c r="G32" s="84" t="s">
        <v>73</v>
      </c>
      <c r="H32" s="84" t="s">
        <v>73</v>
      </c>
      <c r="I32" s="84" t="s">
        <v>73</v>
      </c>
      <c r="J32" s="84" t="s">
        <v>73</v>
      </c>
      <c r="K32" s="88">
        <f>'a-2d'!E19*(-1)</f>
        <v>-154</v>
      </c>
      <c r="L32" s="88">
        <f>'a-2d'!F19*(-1)</f>
        <v>-1277</v>
      </c>
      <c r="M32" s="88">
        <f>'a-2d'!G19*(-1)</f>
        <v>-2818</v>
      </c>
      <c r="N32" s="88">
        <f>'a-2d'!H19*(-1)</f>
        <v>-2455</v>
      </c>
      <c r="O32" s="88">
        <f>'a-2d'!I19*(-1)</f>
        <v>-3084</v>
      </c>
      <c r="P32" s="88">
        <f>'a-2d'!J19*(-1)</f>
        <v>-2347</v>
      </c>
      <c r="Q32" s="88">
        <f>'a-2d'!K19*(-1)</f>
        <v>-545</v>
      </c>
    </row>
    <row r="33" spans="1:17" ht="21" customHeight="1">
      <c r="A33" s="89" t="s">
        <v>78</v>
      </c>
      <c r="B33" s="86" t="s">
        <v>77</v>
      </c>
      <c r="C33" s="85" t="s">
        <v>76</v>
      </c>
      <c r="D33" s="87">
        <f t="shared" ref="D33:J33" si="5">D30</f>
        <v>-336.40000000000043</v>
      </c>
      <c r="E33" s="87">
        <f t="shared" si="5"/>
        <v>-517</v>
      </c>
      <c r="F33" s="87">
        <f t="shared" si="5"/>
        <v>156.30000000000064</v>
      </c>
      <c r="G33" s="87">
        <f t="shared" si="5"/>
        <v>-684.80000000000018</v>
      </c>
      <c r="H33" s="87">
        <f t="shared" si="5"/>
        <v>-147.09999999999968</v>
      </c>
      <c r="I33" s="87">
        <f t="shared" si="5"/>
        <v>-159.3999999999993</v>
      </c>
      <c r="J33" s="87">
        <f t="shared" si="5"/>
        <v>196.50000000000068</v>
      </c>
      <c r="K33" s="88">
        <f t="shared" ref="K33:Q33" si="6">K30+K32</f>
        <v>50.899999999999636</v>
      </c>
      <c r="L33" s="87">
        <f t="shared" si="6"/>
        <v>-1243.8000000000002</v>
      </c>
      <c r="M33" s="87">
        <f t="shared" si="6"/>
        <v>-3931.8000000000006</v>
      </c>
      <c r="N33" s="87">
        <f t="shared" si="6"/>
        <v>-4170.2</v>
      </c>
      <c r="O33" s="87">
        <f t="shared" si="6"/>
        <v>-5209</v>
      </c>
      <c r="P33" s="87">
        <f t="shared" si="6"/>
        <v>-5614.3999999999978</v>
      </c>
      <c r="Q33" s="87">
        <f t="shared" si="6"/>
        <v>-10182.799999999999</v>
      </c>
    </row>
    <row r="34" spans="1:17" ht="21" customHeight="1">
      <c r="B34" s="86" t="s">
        <v>75</v>
      </c>
      <c r="C34" s="85" t="s">
        <v>74</v>
      </c>
      <c r="D34" s="84" t="s">
        <v>73</v>
      </c>
      <c r="E34" s="84" t="s">
        <v>73</v>
      </c>
      <c r="F34" s="84" t="s">
        <v>73</v>
      </c>
      <c r="G34" s="84" t="s">
        <v>73</v>
      </c>
      <c r="H34" s="84" t="s">
        <v>73</v>
      </c>
      <c r="I34" s="84" t="s">
        <v>73</v>
      </c>
      <c r="J34" s="84" t="s">
        <v>73</v>
      </c>
      <c r="K34" s="84" t="s">
        <v>73</v>
      </c>
      <c r="L34" s="83">
        <v>-1567</v>
      </c>
      <c r="M34" s="83">
        <v>-2027</v>
      </c>
      <c r="N34" s="83">
        <v>-4200</v>
      </c>
      <c r="O34" s="83">
        <v>-5707</v>
      </c>
      <c r="P34" s="83">
        <v>-5393</v>
      </c>
      <c r="Q34" s="83">
        <v>-10503</v>
      </c>
    </row>
    <row r="35" spans="1:17" ht="6.75" customHeight="1" thickBot="1">
      <c r="A35" s="82"/>
      <c r="B35" s="82"/>
      <c r="C35" s="7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1:17" ht="13" thickTop="1">
      <c r="B36" s="47"/>
      <c r="C36" s="45"/>
      <c r="D36" s="47"/>
      <c r="E36" s="47"/>
      <c r="F36" s="47"/>
      <c r="G36" s="47"/>
      <c r="H36" s="47"/>
      <c r="I36" s="48"/>
      <c r="J36" s="48"/>
      <c r="K36" s="48"/>
      <c r="L36" s="48"/>
      <c r="M36" s="48"/>
      <c r="N36" s="48"/>
      <c r="O36" s="48"/>
      <c r="P36" s="48"/>
      <c r="Q36" s="48"/>
    </row>
    <row r="37" spans="1:17">
      <c r="B37" s="47"/>
      <c r="C37" s="45"/>
      <c r="D37" s="47"/>
      <c r="E37" s="47"/>
      <c r="F37" s="47"/>
      <c r="G37" s="47"/>
      <c r="H37" s="47"/>
      <c r="I37" s="48"/>
      <c r="J37" s="48"/>
      <c r="K37" s="48"/>
      <c r="L37" s="48"/>
      <c r="M37" s="48"/>
      <c r="N37" s="48"/>
      <c r="O37" s="48"/>
      <c r="P37" s="48"/>
      <c r="Q37" s="81"/>
    </row>
    <row r="38" spans="1:17">
      <c r="B38" s="47"/>
      <c r="C38" s="45"/>
      <c r="D38" s="47"/>
      <c r="E38" s="47"/>
      <c r="F38" s="47"/>
      <c r="G38" s="47"/>
      <c r="H38" s="47"/>
      <c r="I38" s="81"/>
      <c r="J38" s="81"/>
      <c r="K38" s="81"/>
      <c r="L38" s="48"/>
      <c r="M38" s="48"/>
      <c r="N38" s="48"/>
      <c r="O38" s="48"/>
      <c r="P38" s="48"/>
      <c r="Q38" s="48"/>
    </row>
    <row r="39" spans="1:17">
      <c r="B39" s="47"/>
      <c r="C39" s="45"/>
      <c r="D39" s="47"/>
      <c r="E39" s="47"/>
      <c r="F39" s="47"/>
      <c r="G39" s="47"/>
      <c r="H39" s="47"/>
      <c r="I39" s="48"/>
      <c r="J39" s="48"/>
      <c r="K39" s="48"/>
      <c r="L39" s="48"/>
      <c r="M39" s="48"/>
      <c r="N39" s="48"/>
      <c r="O39" s="48"/>
      <c r="P39" s="48"/>
      <c r="Q39" s="48"/>
    </row>
    <row r="40" spans="1:17" ht="32.25" customHeight="1">
      <c r="B40" s="47"/>
      <c r="C40" s="45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8"/>
      <c r="O40" s="48"/>
      <c r="P40" s="48"/>
      <c r="Q40" s="48"/>
    </row>
    <row r="41" spans="1:17" ht="32.25" customHeight="1">
      <c r="B41" s="47"/>
      <c r="C41" s="45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8"/>
      <c r="O41" s="48"/>
      <c r="P41" s="48"/>
      <c r="Q41" s="48"/>
    </row>
    <row r="42" spans="1:17">
      <c r="A42" s="47"/>
      <c r="B42" s="79"/>
      <c r="C42" s="45"/>
      <c r="D42" s="47"/>
      <c r="E42" s="47"/>
      <c r="F42" s="47"/>
      <c r="G42" s="47"/>
      <c r="H42" s="47"/>
      <c r="I42" s="48"/>
      <c r="J42" s="48"/>
      <c r="K42" s="48"/>
      <c r="L42" s="48"/>
      <c r="M42" s="48"/>
      <c r="N42" s="48"/>
      <c r="O42" s="48"/>
      <c r="P42" s="48"/>
      <c r="Q42" s="48"/>
    </row>
    <row r="43" spans="1:17">
      <c r="A43" s="47"/>
      <c r="C43" s="45"/>
      <c r="D43" s="47"/>
      <c r="E43" s="47"/>
      <c r="F43" s="47"/>
      <c r="G43" s="47"/>
      <c r="H43" s="47"/>
      <c r="I43" s="48"/>
      <c r="J43" s="48"/>
      <c r="K43" s="48"/>
      <c r="L43" s="48"/>
      <c r="M43" s="48"/>
      <c r="N43" s="48"/>
      <c r="O43" s="48"/>
      <c r="P43" s="48"/>
      <c r="Q43" s="48"/>
    </row>
    <row r="44" spans="1:17">
      <c r="B44" s="79"/>
      <c r="C44" s="46"/>
      <c r="D44" s="48"/>
      <c r="E44" s="47"/>
      <c r="F44" s="47"/>
      <c r="G44" s="47"/>
      <c r="H44" s="47"/>
      <c r="I44" s="48"/>
      <c r="J44" s="48"/>
      <c r="K44" s="48"/>
      <c r="L44" s="48"/>
      <c r="M44" s="48"/>
      <c r="N44" s="48"/>
      <c r="O44" s="48"/>
      <c r="P44" s="48"/>
      <c r="Q44" s="48"/>
    </row>
    <row r="45" spans="1:17">
      <c r="B45" s="79"/>
      <c r="C45" s="47"/>
      <c r="D45" s="48"/>
      <c r="E45" s="47"/>
      <c r="F45" s="47"/>
      <c r="G45" s="47"/>
      <c r="H45" s="47"/>
      <c r="I45" s="48"/>
      <c r="J45" s="48"/>
      <c r="K45" s="48"/>
      <c r="L45" s="48"/>
      <c r="M45" s="48"/>
      <c r="N45" s="48"/>
      <c r="O45" s="48"/>
      <c r="P45" s="48"/>
      <c r="Q45" s="48"/>
    </row>
    <row r="46" spans="1:17">
      <c r="A46" s="79"/>
      <c r="C46" s="47"/>
      <c r="D46" s="48"/>
      <c r="E46" s="47"/>
      <c r="F46" s="47"/>
      <c r="G46" s="47"/>
      <c r="H46" s="47"/>
      <c r="I46" s="48"/>
      <c r="J46" s="48"/>
      <c r="K46" s="48"/>
      <c r="L46" s="48"/>
      <c r="M46" s="48"/>
      <c r="N46" s="48"/>
      <c r="O46" s="48"/>
      <c r="P46" s="48"/>
      <c r="Q46" s="48"/>
    </row>
    <row r="47" spans="1:17">
      <c r="A47" s="79"/>
      <c r="C47" s="47"/>
      <c r="D47" s="48"/>
      <c r="E47" s="47"/>
      <c r="F47" s="47"/>
      <c r="G47" s="47"/>
      <c r="H47" s="47"/>
      <c r="I47" s="48"/>
      <c r="J47" s="48"/>
      <c r="K47" s="48"/>
      <c r="L47" s="48"/>
      <c r="M47" s="48"/>
      <c r="N47" s="48"/>
      <c r="O47" s="48"/>
      <c r="P47" s="48"/>
      <c r="Q47" s="48"/>
    </row>
    <row r="48" spans="1:17">
      <c r="A48" s="79"/>
      <c r="C48" s="47"/>
      <c r="D48" s="48"/>
      <c r="E48" s="47"/>
      <c r="F48" s="47"/>
      <c r="G48" s="47"/>
      <c r="H48" s="47"/>
      <c r="I48" s="48"/>
      <c r="J48" s="48"/>
      <c r="K48" s="48"/>
      <c r="L48" s="48"/>
      <c r="M48" s="48"/>
      <c r="N48" s="48"/>
      <c r="O48" s="48"/>
      <c r="P48" s="48"/>
      <c r="Q48" s="48"/>
    </row>
    <row r="49" spans="1:17">
      <c r="A49" s="79"/>
      <c r="C49" s="47"/>
      <c r="D49" s="48"/>
      <c r="E49" s="47"/>
      <c r="F49" s="47"/>
      <c r="G49" s="47"/>
      <c r="H49" s="47"/>
      <c r="I49" s="48"/>
      <c r="J49" s="48"/>
      <c r="K49" s="48"/>
      <c r="L49" s="48"/>
      <c r="M49" s="48"/>
      <c r="N49" s="48"/>
      <c r="O49" s="48"/>
      <c r="P49" s="48"/>
      <c r="Q49" s="48"/>
    </row>
    <row r="50" spans="1:17">
      <c r="A50" s="79"/>
      <c r="C50" s="47"/>
      <c r="D50" s="48"/>
      <c r="E50" s="47"/>
      <c r="F50" s="47"/>
      <c r="G50" s="47"/>
      <c r="H50" s="47"/>
      <c r="I50" s="48"/>
      <c r="J50" s="48"/>
      <c r="K50" s="48"/>
      <c r="L50" s="48"/>
      <c r="M50" s="48"/>
      <c r="N50" s="48"/>
      <c r="O50" s="48"/>
      <c r="P50" s="48"/>
      <c r="Q50" s="48"/>
    </row>
    <row r="51" spans="1:17">
      <c r="A51" s="79"/>
      <c r="C51" s="47"/>
      <c r="D51" s="48"/>
      <c r="E51" s="47"/>
      <c r="F51" s="47"/>
      <c r="G51" s="47"/>
      <c r="H51" s="47"/>
      <c r="I51" s="48"/>
      <c r="J51" s="48"/>
      <c r="K51" s="48"/>
      <c r="L51" s="48"/>
      <c r="M51" s="48"/>
      <c r="N51" s="48"/>
      <c r="O51" s="48"/>
      <c r="P51" s="48"/>
      <c r="Q51" s="48"/>
    </row>
    <row r="52" spans="1:17">
      <c r="A52" s="79"/>
      <c r="C52" s="47"/>
      <c r="D52" s="48"/>
      <c r="E52" s="47"/>
      <c r="F52" s="47"/>
      <c r="G52" s="47"/>
      <c r="H52" s="47"/>
      <c r="I52" s="48"/>
      <c r="J52" s="48"/>
      <c r="K52" s="48"/>
      <c r="L52" s="48"/>
      <c r="M52" s="48"/>
      <c r="N52" s="48"/>
      <c r="O52" s="48"/>
      <c r="P52" s="48"/>
      <c r="Q52" s="48"/>
    </row>
    <row r="53" spans="1:17">
      <c r="B53" s="79"/>
      <c r="C53" s="47"/>
      <c r="D53" s="48"/>
      <c r="E53" s="47"/>
      <c r="F53" s="47"/>
      <c r="G53" s="47"/>
      <c r="H53" s="47"/>
      <c r="I53" s="48"/>
      <c r="J53" s="48"/>
      <c r="K53" s="48"/>
      <c r="L53" s="48"/>
      <c r="M53" s="48"/>
      <c r="N53" s="48"/>
      <c r="O53" s="48"/>
      <c r="P53" s="48"/>
      <c r="Q53" s="48"/>
    </row>
    <row r="54" spans="1:17">
      <c r="A54" s="79"/>
      <c r="C54" s="47"/>
      <c r="D54" s="48"/>
      <c r="E54" s="47"/>
      <c r="F54" s="47"/>
      <c r="G54" s="47"/>
      <c r="H54" s="47"/>
      <c r="I54" s="48"/>
      <c r="J54" s="48"/>
      <c r="K54" s="48"/>
      <c r="L54" s="48"/>
      <c r="M54" s="48"/>
      <c r="N54" s="48"/>
      <c r="O54" s="48"/>
      <c r="P54" s="48"/>
      <c r="Q54" s="48"/>
    </row>
    <row r="55" spans="1:17">
      <c r="A55" s="79"/>
      <c r="C55" s="47"/>
      <c r="D55" s="48"/>
      <c r="E55" s="47"/>
      <c r="F55" s="47"/>
      <c r="G55" s="47"/>
      <c r="H55" s="47"/>
      <c r="I55" s="48"/>
      <c r="J55" s="48"/>
      <c r="K55" s="48"/>
      <c r="L55" s="48"/>
      <c r="M55" s="48"/>
      <c r="N55" s="48"/>
      <c r="O55" s="48"/>
      <c r="P55" s="48"/>
      <c r="Q55" s="48"/>
    </row>
    <row r="56" spans="1:17">
      <c r="A56" s="48"/>
      <c r="C56" s="47"/>
      <c r="D56" s="48"/>
      <c r="E56" s="47"/>
      <c r="F56" s="47"/>
      <c r="G56" s="47"/>
      <c r="H56" s="47"/>
      <c r="I56" s="48"/>
      <c r="J56" s="48"/>
      <c r="K56" s="48"/>
      <c r="L56" s="48"/>
      <c r="M56" s="48"/>
      <c r="N56" s="48"/>
      <c r="O56" s="48"/>
      <c r="P56" s="48"/>
      <c r="Q56" s="48"/>
    </row>
    <row r="57" spans="1:17">
      <c r="A57" s="79"/>
      <c r="C57" s="47"/>
      <c r="D57" s="48"/>
      <c r="E57" s="47"/>
      <c r="F57" s="47"/>
      <c r="G57" s="47"/>
      <c r="H57" s="47"/>
      <c r="I57" s="48"/>
      <c r="J57" s="48"/>
      <c r="K57" s="48"/>
      <c r="L57" s="48"/>
      <c r="M57" s="48"/>
      <c r="N57" s="48"/>
      <c r="O57" s="48"/>
      <c r="P57" s="48"/>
      <c r="Q57" s="48"/>
    </row>
    <row r="58" spans="1:17">
      <c r="A58" s="79"/>
      <c r="C58" s="47"/>
      <c r="D58" s="48"/>
      <c r="E58" s="47"/>
      <c r="F58" s="47"/>
      <c r="G58" s="47"/>
      <c r="H58" s="47"/>
      <c r="I58" s="48"/>
      <c r="J58" s="48"/>
      <c r="K58" s="48"/>
      <c r="L58" s="48"/>
      <c r="M58" s="48"/>
      <c r="N58" s="48"/>
      <c r="O58" s="48"/>
      <c r="P58" s="48"/>
      <c r="Q58" s="48"/>
    </row>
    <row r="59" spans="1:17">
      <c r="B59" s="79"/>
      <c r="C59" s="46"/>
      <c r="D59" s="48"/>
      <c r="E59" s="47"/>
      <c r="F59" s="47"/>
      <c r="G59" s="47"/>
      <c r="H59" s="47"/>
      <c r="I59" s="48"/>
      <c r="J59" s="48"/>
      <c r="K59" s="48"/>
      <c r="L59" s="48"/>
      <c r="M59" s="48"/>
      <c r="N59" s="48"/>
      <c r="O59" s="48"/>
      <c r="P59" s="48"/>
      <c r="Q59" s="48"/>
    </row>
    <row r="60" spans="1:17">
      <c r="A60" s="79"/>
      <c r="B60" s="80"/>
      <c r="C60" s="47"/>
      <c r="D60" s="48"/>
      <c r="E60" s="47"/>
      <c r="F60" s="47"/>
      <c r="G60" s="47"/>
      <c r="H60" s="47"/>
      <c r="I60" s="48"/>
      <c r="J60" s="48"/>
      <c r="K60" s="48"/>
      <c r="L60" s="48"/>
      <c r="M60" s="48"/>
      <c r="N60" s="48"/>
      <c r="O60" s="48"/>
      <c r="P60" s="48"/>
      <c r="Q60" s="48"/>
    </row>
    <row r="61" spans="1:17">
      <c r="B61" s="79"/>
      <c r="C61" s="46"/>
      <c r="D61" s="48"/>
      <c r="E61" s="47"/>
      <c r="F61" s="47"/>
      <c r="G61" s="47"/>
      <c r="H61" s="47"/>
      <c r="I61" s="48"/>
      <c r="J61" s="48"/>
      <c r="K61" s="48"/>
      <c r="L61" s="48"/>
      <c r="M61" s="48"/>
      <c r="N61" s="48"/>
      <c r="O61" s="48"/>
      <c r="P61" s="48"/>
      <c r="Q61" s="48"/>
    </row>
    <row r="62" spans="1:17">
      <c r="A62" s="79"/>
      <c r="C62" s="46"/>
      <c r="D62" s="48"/>
      <c r="E62" s="47"/>
      <c r="F62" s="47"/>
      <c r="G62" s="47"/>
      <c r="H62" s="47"/>
      <c r="I62" s="48"/>
      <c r="J62" s="48"/>
      <c r="K62" s="48"/>
      <c r="L62" s="48"/>
      <c r="M62" s="48"/>
      <c r="N62" s="48"/>
      <c r="O62" s="48"/>
      <c r="P62" s="48"/>
      <c r="Q62" s="48"/>
    </row>
    <row r="63" spans="1:17">
      <c r="B63" s="79"/>
      <c r="C63" s="47"/>
      <c r="D63" s="48"/>
      <c r="E63" s="47"/>
      <c r="F63" s="47"/>
      <c r="G63" s="47"/>
      <c r="H63" s="47"/>
      <c r="I63" s="48"/>
      <c r="J63" s="48"/>
      <c r="K63" s="48"/>
      <c r="L63" s="48"/>
      <c r="M63" s="48"/>
      <c r="N63" s="48"/>
      <c r="O63" s="48"/>
      <c r="P63" s="48"/>
      <c r="Q63" s="48"/>
    </row>
    <row r="64" spans="1:17">
      <c r="A64" s="48"/>
      <c r="C64" s="47"/>
      <c r="D64" s="48"/>
      <c r="E64" s="47"/>
      <c r="F64" s="47"/>
      <c r="G64" s="47"/>
      <c r="H64" s="47"/>
      <c r="I64" s="48"/>
      <c r="J64" s="48"/>
      <c r="K64" s="48"/>
      <c r="L64" s="48"/>
      <c r="M64" s="48"/>
      <c r="N64" s="48"/>
      <c r="O64" s="48"/>
      <c r="P64" s="48"/>
      <c r="Q64" s="48"/>
    </row>
    <row r="65" spans="1:18">
      <c r="A65" s="48"/>
      <c r="C65" s="47"/>
      <c r="D65" s="48"/>
      <c r="E65" s="47"/>
      <c r="F65" s="47"/>
      <c r="G65" s="47"/>
      <c r="H65" s="47"/>
      <c r="I65" s="48"/>
      <c r="J65" s="48"/>
      <c r="K65" s="48"/>
      <c r="L65" s="48"/>
      <c r="M65" s="48"/>
      <c r="N65" s="48"/>
      <c r="O65" s="48"/>
      <c r="P65" s="48"/>
      <c r="Q65" s="48"/>
    </row>
    <row r="66" spans="1:18">
      <c r="B66" s="79"/>
      <c r="C66" s="46"/>
      <c r="D66" s="48"/>
      <c r="E66" s="47"/>
      <c r="F66" s="47"/>
      <c r="G66" s="47"/>
      <c r="H66" s="47"/>
      <c r="I66" s="48"/>
      <c r="J66" s="48"/>
      <c r="K66" s="48"/>
      <c r="L66" s="48"/>
      <c r="M66" s="48"/>
      <c r="N66" s="48"/>
      <c r="O66" s="48"/>
      <c r="P66" s="48"/>
      <c r="Q66" s="48"/>
    </row>
    <row r="67" spans="1:18">
      <c r="B67" s="47"/>
      <c r="C67" s="47"/>
      <c r="D67" s="48"/>
      <c r="E67" s="47"/>
      <c r="F67" s="47"/>
      <c r="G67" s="47"/>
      <c r="H67" s="47"/>
      <c r="I67" s="48"/>
      <c r="J67" s="48"/>
      <c r="K67" s="48"/>
      <c r="L67" s="48"/>
      <c r="M67" s="48"/>
      <c r="N67" s="48"/>
      <c r="O67" s="48"/>
      <c r="P67" s="48"/>
      <c r="Q67" s="48"/>
    </row>
    <row r="68" spans="1:18">
      <c r="B68" s="48"/>
      <c r="C68" s="44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71" spans="1:18" ht="21">
      <c r="R71" s="78">
        <v>269</v>
      </c>
    </row>
  </sheetData>
  <sheetProtection sheet="1" objects="1" scenarios="1"/>
  <printOptions horizontalCentered="1" verticalCentered="1"/>
  <pageMargins left="0.15748031496062992" right="0" top="0" bottom="0.19685039370078741" header="0" footer="0"/>
  <pageSetup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42"/>
  <sheetViews>
    <sheetView zoomScale="125" zoomScaleNormal="125" zoomScalePageLayoutView="125" workbookViewId="0">
      <selection activeCell="B20" sqref="B20"/>
    </sheetView>
  </sheetViews>
  <sheetFormatPr baseColWidth="10" defaultRowHeight="12" x14ac:dyDescent="0"/>
  <cols>
    <col min="1" max="1" width="2.5" style="2" customWidth="1"/>
    <col min="2" max="2" width="25.33203125" style="2" customWidth="1"/>
    <col min="3" max="3" width="6.6640625" style="2" customWidth="1"/>
    <col min="4" max="17" width="5.6640625" style="2" customWidth="1"/>
    <col min="18" max="18" width="5.33203125" style="2" customWidth="1"/>
    <col min="19" max="16384" width="10.83203125" style="2"/>
  </cols>
  <sheetData>
    <row r="1" spans="1:182" ht="27" customHeight="1"/>
    <row r="2" spans="1:182">
      <c r="R2" s="78"/>
    </row>
    <row r="4" spans="1:182">
      <c r="A4" s="102" t="s">
        <v>153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48"/>
      <c r="S4" s="48"/>
    </row>
    <row r="5" spans="1:182">
      <c r="B5" s="10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48"/>
      <c r="S5" s="48"/>
    </row>
    <row r="6" spans="1:182">
      <c r="A6" s="101" t="s">
        <v>152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2"/>
      <c r="R6" s="48"/>
      <c r="S6" s="48"/>
    </row>
    <row r="7" spans="1:182" ht="13" thickBo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48"/>
      <c r="S7" s="48"/>
    </row>
    <row r="8" spans="1:182" s="106" customFormat="1" ht="18.75" customHeight="1" thickTop="1" thickBot="1">
      <c r="A8" s="108"/>
      <c r="B8" s="108"/>
      <c r="C8" s="108"/>
      <c r="D8" s="108">
        <v>1925</v>
      </c>
      <c r="E8" s="108">
        <v>1926</v>
      </c>
      <c r="F8" s="108">
        <v>1927</v>
      </c>
      <c r="G8" s="108">
        <v>1928</v>
      </c>
      <c r="H8" s="108">
        <v>1929</v>
      </c>
      <c r="I8" s="108">
        <v>1930</v>
      </c>
      <c r="J8" s="108">
        <v>1931</v>
      </c>
      <c r="K8" s="108">
        <v>1932</v>
      </c>
      <c r="L8" s="108">
        <v>1933</v>
      </c>
      <c r="M8" s="108">
        <v>1934</v>
      </c>
      <c r="N8" s="108">
        <v>1935</v>
      </c>
      <c r="O8" s="108">
        <v>1936</v>
      </c>
      <c r="P8" s="108">
        <v>1937</v>
      </c>
      <c r="Q8" s="108">
        <v>1938</v>
      </c>
      <c r="R8" s="107"/>
      <c r="S8" s="107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</row>
    <row r="9" spans="1:182" ht="16.5" customHeight="1" thickTop="1">
      <c r="A9" s="89" t="s">
        <v>38</v>
      </c>
      <c r="B9" s="90" t="s">
        <v>151</v>
      </c>
      <c r="C9" s="93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48"/>
      <c r="S9" s="48"/>
    </row>
    <row r="10" spans="1:182" ht="20">
      <c r="A10" s="89"/>
      <c r="B10" s="86" t="s">
        <v>150</v>
      </c>
      <c r="C10" s="85" t="s">
        <v>149</v>
      </c>
      <c r="D10" s="88">
        <v>0</v>
      </c>
      <c r="E10" s="88">
        <v>2.4</v>
      </c>
      <c r="F10" s="88">
        <v>16.399999999999999</v>
      </c>
      <c r="G10" s="88">
        <v>27.4</v>
      </c>
      <c r="H10" s="88">
        <v>26.2</v>
      </c>
      <c r="I10" s="88">
        <v>32.700000000000003</v>
      </c>
      <c r="J10" s="88">
        <v>39</v>
      </c>
      <c r="K10" s="88">
        <v>55.9</v>
      </c>
      <c r="L10" s="94">
        <v>57.6</v>
      </c>
      <c r="M10" s="94">
        <v>60</v>
      </c>
      <c r="N10" s="94">
        <v>60</v>
      </c>
      <c r="O10" s="94">
        <v>60</v>
      </c>
      <c r="P10" s="94">
        <v>60</v>
      </c>
      <c r="Q10" s="94">
        <v>60</v>
      </c>
      <c r="R10" s="48"/>
      <c r="S10" s="48"/>
    </row>
    <row r="11" spans="1:182">
      <c r="A11" s="89"/>
      <c r="B11" s="93" t="s">
        <v>148</v>
      </c>
      <c r="C11" s="85" t="s">
        <v>147</v>
      </c>
      <c r="D11" s="88">
        <v>1.2</v>
      </c>
      <c r="E11" s="88">
        <v>1.1000000000000001</v>
      </c>
      <c r="F11" s="88">
        <v>24.2</v>
      </c>
      <c r="G11" s="88">
        <v>27</v>
      </c>
      <c r="H11" s="88">
        <v>42.7</v>
      </c>
      <c r="I11" s="88">
        <v>63.8</v>
      </c>
      <c r="J11" s="88">
        <v>96.8</v>
      </c>
      <c r="K11" s="88">
        <v>115.1</v>
      </c>
      <c r="L11" s="94">
        <v>123.6</v>
      </c>
      <c r="M11" s="87">
        <v>101.4</v>
      </c>
      <c r="N11" s="87">
        <v>162.1</v>
      </c>
      <c r="O11" s="87">
        <v>366.6</v>
      </c>
      <c r="P11" s="87">
        <v>481.3</v>
      </c>
      <c r="Q11" s="87"/>
      <c r="R11" s="48"/>
      <c r="S11" s="48"/>
    </row>
    <row r="12" spans="1:182">
      <c r="A12" s="89"/>
      <c r="B12" s="93" t="s">
        <v>146</v>
      </c>
      <c r="C12" s="85" t="s">
        <v>145</v>
      </c>
      <c r="D12" s="88">
        <v>1.5</v>
      </c>
      <c r="E12" s="88">
        <v>3.5</v>
      </c>
      <c r="F12" s="88">
        <v>5.3</v>
      </c>
      <c r="G12" s="88">
        <v>38.200000000000003</v>
      </c>
      <c r="H12" s="88">
        <v>117.7</v>
      </c>
      <c r="I12" s="88">
        <v>115.2</v>
      </c>
      <c r="J12" s="88">
        <v>94.7</v>
      </c>
      <c r="K12" s="88">
        <v>82</v>
      </c>
      <c r="L12" s="94">
        <v>84.1</v>
      </c>
      <c r="M12" s="87">
        <v>90.8</v>
      </c>
      <c r="N12" s="87">
        <v>93.1</v>
      </c>
      <c r="O12" s="87">
        <v>31.7</v>
      </c>
      <c r="P12" s="87">
        <v>463.8</v>
      </c>
      <c r="Q12" s="87"/>
      <c r="R12" s="48"/>
      <c r="S12" s="48"/>
    </row>
    <row r="13" spans="1:182">
      <c r="A13" s="89"/>
      <c r="B13" s="93" t="s">
        <v>144</v>
      </c>
      <c r="C13" s="85" t="s">
        <v>143</v>
      </c>
      <c r="D13" s="88">
        <v>5.8</v>
      </c>
      <c r="E13" s="88">
        <v>5.5</v>
      </c>
      <c r="F13" s="88">
        <v>5</v>
      </c>
      <c r="G13" s="88">
        <v>5</v>
      </c>
      <c r="H13" s="88">
        <v>4.7</v>
      </c>
      <c r="I13" s="88">
        <v>4.4000000000000004</v>
      </c>
      <c r="J13" s="88">
        <v>4.4000000000000004</v>
      </c>
      <c r="K13" s="88">
        <v>4.4000000000000004</v>
      </c>
      <c r="L13" s="94">
        <v>4.4000000000000004</v>
      </c>
      <c r="M13" s="87">
        <v>4.3</v>
      </c>
      <c r="N13" s="87">
        <v>4.3</v>
      </c>
      <c r="O13" s="87">
        <v>4.3</v>
      </c>
      <c r="P13" s="87">
        <v>4.2</v>
      </c>
      <c r="Q13" s="87"/>
      <c r="R13" s="48"/>
      <c r="S13" s="48"/>
    </row>
    <row r="14" spans="1:182" ht="20">
      <c r="A14" s="89"/>
      <c r="B14" s="86" t="s">
        <v>142</v>
      </c>
      <c r="C14" s="85" t="s">
        <v>141</v>
      </c>
      <c r="D14" s="88">
        <f t="shared" ref="D14:P14" si="0">SUM(D10:D13)</f>
        <v>8.5</v>
      </c>
      <c r="E14" s="88">
        <f t="shared" si="0"/>
        <v>12.5</v>
      </c>
      <c r="F14" s="88">
        <f t="shared" si="0"/>
        <v>50.899999999999991</v>
      </c>
      <c r="G14" s="88">
        <f t="shared" si="0"/>
        <v>97.6</v>
      </c>
      <c r="H14" s="88">
        <f t="shared" si="0"/>
        <v>191.3</v>
      </c>
      <c r="I14" s="88">
        <f t="shared" si="0"/>
        <v>216.1</v>
      </c>
      <c r="J14" s="88">
        <f t="shared" si="0"/>
        <v>234.9</v>
      </c>
      <c r="K14" s="88">
        <f t="shared" si="0"/>
        <v>257.39999999999998</v>
      </c>
      <c r="L14" s="94">
        <f t="shared" si="0"/>
        <v>269.69999999999993</v>
      </c>
      <c r="M14" s="87">
        <f t="shared" si="0"/>
        <v>256.5</v>
      </c>
      <c r="N14" s="87">
        <f t="shared" si="0"/>
        <v>319.5</v>
      </c>
      <c r="O14" s="87">
        <f t="shared" si="0"/>
        <v>462.6</v>
      </c>
      <c r="P14" s="87">
        <f t="shared" si="0"/>
        <v>1009.3</v>
      </c>
      <c r="Q14" s="87"/>
      <c r="R14" s="48"/>
      <c r="S14" s="48"/>
    </row>
    <row r="15" spans="1:182" ht="16.5" customHeight="1">
      <c r="A15" s="89" t="s">
        <v>140</v>
      </c>
      <c r="B15" s="90" t="s">
        <v>139</v>
      </c>
      <c r="C15" s="85"/>
      <c r="D15" s="88"/>
      <c r="E15" s="88"/>
      <c r="F15" s="88"/>
      <c r="G15" s="88"/>
      <c r="H15" s="88"/>
      <c r="I15" s="88"/>
      <c r="J15" s="88"/>
      <c r="K15" s="88"/>
      <c r="L15" s="94"/>
      <c r="M15" s="87"/>
      <c r="N15" s="87"/>
      <c r="O15" s="87"/>
      <c r="P15" s="87"/>
      <c r="Q15" s="87"/>
      <c r="R15" s="48"/>
      <c r="S15" s="48"/>
    </row>
    <row r="16" spans="1:182" ht="20">
      <c r="A16" s="105"/>
      <c r="B16" s="86" t="s">
        <v>138</v>
      </c>
      <c r="C16" s="85" t="s">
        <v>137</v>
      </c>
      <c r="D16" s="88">
        <v>56</v>
      </c>
      <c r="E16" s="88">
        <v>64.099999999999994</v>
      </c>
      <c r="F16" s="88">
        <v>47.6</v>
      </c>
      <c r="G16" s="88">
        <v>49.3</v>
      </c>
      <c r="H16" s="88">
        <v>46.3</v>
      </c>
      <c r="I16" s="88">
        <v>47.8</v>
      </c>
      <c r="J16" s="88">
        <v>37.5</v>
      </c>
      <c r="K16" s="88">
        <v>37.1</v>
      </c>
      <c r="L16" s="94">
        <v>33.200000000000003</v>
      </c>
      <c r="M16" s="87">
        <v>23.4</v>
      </c>
      <c r="N16" s="87">
        <v>21.7</v>
      </c>
      <c r="O16" s="87"/>
      <c r="P16" s="87"/>
      <c r="Q16" s="87"/>
      <c r="R16" s="48"/>
      <c r="S16" s="48"/>
    </row>
    <row r="17" spans="1:19">
      <c r="A17" s="105"/>
      <c r="B17" s="93" t="s">
        <v>94</v>
      </c>
      <c r="C17" s="85" t="s">
        <v>136</v>
      </c>
      <c r="D17" s="88" t="s">
        <v>133</v>
      </c>
      <c r="E17" s="88" t="s">
        <v>133</v>
      </c>
      <c r="F17" s="88" t="s">
        <v>133</v>
      </c>
      <c r="G17" s="88" t="s">
        <v>133</v>
      </c>
      <c r="H17" s="88" t="s">
        <v>133</v>
      </c>
      <c r="I17" s="88">
        <v>42.9</v>
      </c>
      <c r="J17" s="88">
        <v>31.7</v>
      </c>
      <c r="K17" s="88">
        <v>26.5</v>
      </c>
      <c r="L17" s="94">
        <v>22.7</v>
      </c>
      <c r="M17" s="87">
        <v>20</v>
      </c>
      <c r="N17" s="87">
        <v>20</v>
      </c>
      <c r="O17" s="87"/>
      <c r="P17" s="87"/>
      <c r="Q17" s="87"/>
      <c r="R17" s="48"/>
      <c r="S17" s="48"/>
    </row>
    <row r="18" spans="1:19">
      <c r="A18" s="105"/>
      <c r="B18" s="93" t="s">
        <v>135</v>
      </c>
      <c r="C18" s="85" t="s">
        <v>134</v>
      </c>
      <c r="D18" s="88" t="s">
        <v>133</v>
      </c>
      <c r="E18" s="88" t="s">
        <v>133</v>
      </c>
      <c r="F18" s="88" t="s">
        <v>133</v>
      </c>
      <c r="G18" s="88" t="s">
        <v>133</v>
      </c>
      <c r="H18" s="88" t="s">
        <v>133</v>
      </c>
      <c r="I18" s="88" t="s">
        <v>133</v>
      </c>
      <c r="J18" s="88">
        <v>0.5</v>
      </c>
      <c r="K18" s="88" t="s">
        <v>133</v>
      </c>
      <c r="L18" s="87" t="s">
        <v>132</v>
      </c>
      <c r="M18" s="87" t="s">
        <v>133</v>
      </c>
      <c r="N18" s="87" t="s">
        <v>133</v>
      </c>
      <c r="O18" s="87" t="s">
        <v>133</v>
      </c>
      <c r="P18" s="87" t="s">
        <v>133</v>
      </c>
      <c r="Q18" s="87" t="s">
        <v>132</v>
      </c>
      <c r="R18" s="48"/>
      <c r="S18" s="48"/>
    </row>
    <row r="19" spans="1:19" ht="22.5" customHeight="1">
      <c r="A19" s="105"/>
      <c r="B19" s="86" t="s">
        <v>131</v>
      </c>
      <c r="C19" s="85" t="s">
        <v>130</v>
      </c>
      <c r="D19" s="88">
        <f t="shared" ref="D19:N19" si="1">SUM(D16:D18)</f>
        <v>56</v>
      </c>
      <c r="E19" s="88">
        <f t="shared" si="1"/>
        <v>64.099999999999994</v>
      </c>
      <c r="F19" s="88">
        <f t="shared" si="1"/>
        <v>47.6</v>
      </c>
      <c r="G19" s="88">
        <f t="shared" si="1"/>
        <v>49.3</v>
      </c>
      <c r="H19" s="88">
        <f t="shared" si="1"/>
        <v>46.3</v>
      </c>
      <c r="I19" s="88">
        <f t="shared" si="1"/>
        <v>90.699999999999989</v>
      </c>
      <c r="J19" s="88">
        <f t="shared" si="1"/>
        <v>69.7</v>
      </c>
      <c r="K19" s="88">
        <f t="shared" si="1"/>
        <v>63.6</v>
      </c>
      <c r="L19" s="94">
        <f t="shared" si="1"/>
        <v>55.900000000000006</v>
      </c>
      <c r="M19" s="94">
        <f t="shared" si="1"/>
        <v>43.4</v>
      </c>
      <c r="N19" s="94">
        <f t="shared" si="1"/>
        <v>41.7</v>
      </c>
      <c r="O19" s="87"/>
      <c r="P19" s="87"/>
      <c r="Q19" s="87"/>
      <c r="R19" s="48"/>
      <c r="S19" s="48"/>
    </row>
    <row r="20" spans="1:19" ht="20">
      <c r="A20" s="105"/>
      <c r="B20" s="86" t="s">
        <v>129</v>
      </c>
      <c r="C20" s="85" t="s">
        <v>128</v>
      </c>
      <c r="D20" s="88">
        <f t="shared" ref="D20:P20" si="2">D14+D19</f>
        <v>64.5</v>
      </c>
      <c r="E20" s="88">
        <f t="shared" si="2"/>
        <v>76.599999999999994</v>
      </c>
      <c r="F20" s="88">
        <f t="shared" si="2"/>
        <v>98.5</v>
      </c>
      <c r="G20" s="88">
        <f t="shared" si="2"/>
        <v>146.89999999999998</v>
      </c>
      <c r="H20" s="88">
        <f t="shared" si="2"/>
        <v>237.60000000000002</v>
      </c>
      <c r="I20" s="88">
        <f t="shared" si="2"/>
        <v>306.79999999999995</v>
      </c>
      <c r="J20" s="88">
        <f t="shared" si="2"/>
        <v>304.60000000000002</v>
      </c>
      <c r="K20" s="88">
        <f t="shared" si="2"/>
        <v>321</v>
      </c>
      <c r="L20" s="87">
        <f t="shared" si="2"/>
        <v>325.59999999999991</v>
      </c>
      <c r="M20" s="87">
        <f t="shared" si="2"/>
        <v>299.89999999999998</v>
      </c>
      <c r="N20" s="87">
        <f t="shared" si="2"/>
        <v>361.2</v>
      </c>
      <c r="O20" s="87">
        <f t="shared" si="2"/>
        <v>462.6</v>
      </c>
      <c r="P20" s="87">
        <f t="shared" si="2"/>
        <v>1009.3</v>
      </c>
      <c r="Q20" s="87">
        <v>1405.8</v>
      </c>
      <c r="R20" s="48"/>
      <c r="S20" s="48"/>
    </row>
    <row r="21" spans="1:19">
      <c r="A21" s="105"/>
      <c r="B21" s="93" t="s">
        <v>127</v>
      </c>
      <c r="C21" s="85" t="s">
        <v>126</v>
      </c>
      <c r="D21" s="88"/>
      <c r="E21" s="88"/>
      <c r="F21" s="88"/>
      <c r="G21" s="88"/>
      <c r="H21" s="88"/>
      <c r="I21" s="88"/>
      <c r="J21" s="88"/>
      <c r="K21" s="88">
        <v>2.5</v>
      </c>
      <c r="L21" s="87">
        <v>42.9</v>
      </c>
      <c r="M21" s="87">
        <v>159.69999999999999</v>
      </c>
      <c r="N21" s="87">
        <v>272.2</v>
      </c>
      <c r="O21" s="87">
        <v>384</v>
      </c>
      <c r="P21" s="87">
        <v>-13.1</v>
      </c>
      <c r="Q21" s="87">
        <v>20.2</v>
      </c>
      <c r="R21" s="48"/>
      <c r="S21" s="48"/>
    </row>
    <row r="22" spans="1:19" ht="22.5" customHeight="1">
      <c r="A22" s="89" t="s">
        <v>23</v>
      </c>
      <c r="B22" s="86" t="s">
        <v>125</v>
      </c>
      <c r="C22" s="85" t="s">
        <v>124</v>
      </c>
      <c r="D22" s="88">
        <f t="shared" ref="D22:Q22" si="3">SUM(D20:D21)</f>
        <v>64.5</v>
      </c>
      <c r="E22" s="88">
        <f t="shared" si="3"/>
        <v>76.599999999999994</v>
      </c>
      <c r="F22" s="88">
        <f t="shared" si="3"/>
        <v>98.5</v>
      </c>
      <c r="G22" s="88">
        <f t="shared" si="3"/>
        <v>146.89999999999998</v>
      </c>
      <c r="H22" s="88">
        <f t="shared" si="3"/>
        <v>237.60000000000002</v>
      </c>
      <c r="I22" s="88">
        <f t="shared" si="3"/>
        <v>306.79999999999995</v>
      </c>
      <c r="J22" s="88">
        <f t="shared" si="3"/>
        <v>304.60000000000002</v>
      </c>
      <c r="K22" s="88">
        <f t="shared" si="3"/>
        <v>323.5</v>
      </c>
      <c r="L22" s="88">
        <f t="shared" si="3"/>
        <v>368.49999999999989</v>
      </c>
      <c r="M22" s="88">
        <f t="shared" si="3"/>
        <v>459.59999999999997</v>
      </c>
      <c r="N22" s="88">
        <f t="shared" si="3"/>
        <v>633.4</v>
      </c>
      <c r="O22" s="88">
        <f t="shared" si="3"/>
        <v>846.6</v>
      </c>
      <c r="P22" s="88">
        <f t="shared" si="3"/>
        <v>996.19999999999993</v>
      </c>
      <c r="Q22" s="88">
        <f t="shared" si="3"/>
        <v>1426</v>
      </c>
      <c r="R22" s="48"/>
      <c r="S22" s="48"/>
    </row>
    <row r="23" spans="1:19" s="51" customFormat="1" ht="6.75" customHeight="1" thickBot="1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52"/>
      <c r="S23" s="52"/>
    </row>
    <row r="24" spans="1:19" s="51" customFormat="1" ht="6.75" customHeight="1" thickTop="1">
      <c r="A24" s="104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52"/>
      <c r="S24" s="52"/>
    </row>
    <row r="25" spans="1:19">
      <c r="A25" s="47"/>
      <c r="B25" s="9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  <c r="S25" s="48"/>
    </row>
    <row r="26" spans="1:19">
      <c r="A26" s="47"/>
      <c r="B26" s="103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 s="48"/>
    </row>
    <row r="27" spans="1:19">
      <c r="B27" s="93"/>
      <c r="C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 s="48"/>
    </row>
    <row r="28" spans="1:19">
      <c r="A28" s="93"/>
      <c r="B28" s="103"/>
      <c r="C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8"/>
      <c r="S28" s="48"/>
    </row>
    <row r="29" spans="1:19">
      <c r="A29" s="93"/>
      <c r="B29" s="103"/>
      <c r="C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8"/>
      <c r="S29" s="48"/>
    </row>
    <row r="30" spans="1:19">
      <c r="B30" s="93"/>
      <c r="C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8"/>
      <c r="S30" s="48"/>
    </row>
    <row r="31" spans="1:19">
      <c r="A31" s="93"/>
      <c r="B31" s="103"/>
      <c r="C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/>
      <c r="S31" s="48"/>
    </row>
    <row r="32" spans="1:19">
      <c r="A32" s="93"/>
      <c r="B32" s="103"/>
      <c r="C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8"/>
      <c r="S32" s="48"/>
    </row>
    <row r="33" spans="1:19">
      <c r="A33" s="93"/>
      <c r="B33" s="103"/>
      <c r="C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  <c r="S33" s="48"/>
    </row>
    <row r="34" spans="1:19">
      <c r="A34" s="93"/>
      <c r="B34" s="103"/>
      <c r="C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8"/>
      <c r="S34" s="48"/>
    </row>
    <row r="35" spans="1:19">
      <c r="B35" s="93"/>
      <c r="C35" s="46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8"/>
      <c r="S35" s="48"/>
    </row>
    <row r="36" spans="1:19">
      <c r="B36" s="93"/>
      <c r="C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8"/>
      <c r="S36" s="48"/>
    </row>
    <row r="37" spans="1:19">
      <c r="B37" s="93"/>
      <c r="C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8"/>
      <c r="S37" s="48"/>
    </row>
    <row r="38" spans="1:19">
      <c r="B38" s="93"/>
      <c r="C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8"/>
      <c r="S38" s="48"/>
    </row>
    <row r="39" spans="1:19">
      <c r="B39" s="93"/>
      <c r="C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8"/>
      <c r="S39" s="48"/>
    </row>
    <row r="40" spans="1:19">
      <c r="B40" s="47"/>
      <c r="C40" s="47"/>
      <c r="D40" s="47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1:19">
      <c r="B41" s="103"/>
      <c r="C41" s="103"/>
      <c r="D41" s="103"/>
    </row>
    <row r="42" spans="1:19" ht="21">
      <c r="B42" s="103"/>
      <c r="C42" s="103"/>
      <c r="D42" s="103"/>
      <c r="R42" s="78">
        <v>271</v>
      </c>
    </row>
  </sheetData>
  <sheetProtection sheet="1" objects="1" scenarios="1"/>
  <pageMargins left="0.78740157480314965" right="0" top="0" bottom="0" header="0.51181102362204722" footer="0.51181102362204722"/>
  <pageSetup paperSize="9" orientation="landscape" horizontalDpi="1200" verticalDpi="1200"/>
  <rowBreaks count="1" manualBreakCount="1">
    <brk id="2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zoomScale="125" zoomScaleNormal="125" zoomScalePageLayoutView="125" workbookViewId="0"/>
  </sheetViews>
  <sheetFormatPr baseColWidth="10" defaultRowHeight="12" x14ac:dyDescent="0"/>
  <cols>
    <col min="1" max="1" width="3.83203125" style="2" customWidth="1"/>
    <col min="2" max="2" width="24.6640625" style="2" customWidth="1"/>
    <col min="3" max="3" width="7.1640625" style="2" customWidth="1"/>
    <col min="4" max="4" width="7.83203125" style="2" customWidth="1"/>
    <col min="5" max="5" width="5.83203125" style="2" customWidth="1"/>
    <col min="6" max="11" width="5.5" style="2" customWidth="1"/>
    <col min="12" max="15" width="6.33203125" style="2" customWidth="1"/>
    <col min="16" max="16" width="6.6640625" style="2" customWidth="1"/>
    <col min="17" max="17" width="7.1640625" style="2" customWidth="1"/>
    <col min="18" max="18" width="7.83203125" style="2" customWidth="1"/>
    <col min="19" max="16384" width="10.83203125" style="2"/>
  </cols>
  <sheetData>
    <row r="2" spans="1:18">
      <c r="R2" s="78"/>
    </row>
    <row r="4" spans="1:18">
      <c r="A4" s="102" t="s">
        <v>166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>
      <c r="A5" s="10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8">
      <c r="A6" s="101" t="s">
        <v>165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2"/>
    </row>
    <row r="7" spans="1:18" ht="13" thickBot="1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18" s="115" customFormat="1" ht="18.75" customHeight="1" thickTop="1" thickBot="1">
      <c r="A8" s="108"/>
      <c r="B8" s="108"/>
      <c r="C8" s="108"/>
      <c r="D8" s="108">
        <v>1925</v>
      </c>
      <c r="E8" s="108">
        <v>1926</v>
      </c>
      <c r="F8" s="108">
        <v>1927</v>
      </c>
      <c r="G8" s="108">
        <v>1928</v>
      </c>
      <c r="H8" s="108">
        <v>1929</v>
      </c>
      <c r="I8" s="108">
        <v>1930</v>
      </c>
      <c r="J8" s="108">
        <v>1931</v>
      </c>
      <c r="K8" s="108">
        <v>1932</v>
      </c>
      <c r="L8" s="108">
        <v>1933</v>
      </c>
      <c r="M8" s="108">
        <v>1934</v>
      </c>
      <c r="N8" s="108">
        <v>1935</v>
      </c>
      <c r="O8" s="108">
        <v>1936</v>
      </c>
      <c r="P8" s="108">
        <v>1937</v>
      </c>
      <c r="Q8" s="108">
        <v>1938</v>
      </c>
    </row>
    <row r="9" spans="1:18" s="115" customFormat="1" ht="10.5" customHeight="1" thickTop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</row>
    <row r="10" spans="1:18" ht="16.5" customHeight="1">
      <c r="A10" s="113" t="s">
        <v>38</v>
      </c>
      <c r="B10" s="90" t="s">
        <v>164</v>
      </c>
      <c r="C10" s="85" t="s">
        <v>36</v>
      </c>
      <c r="D10" s="88">
        <f>'a-1d'!E13</f>
        <v>5321</v>
      </c>
      <c r="E10" s="88">
        <f>'a-1d'!F13</f>
        <v>6561.4</v>
      </c>
      <c r="F10" s="88">
        <f>'a-1d'!G13</f>
        <v>7153.9</v>
      </c>
      <c r="G10" s="88">
        <f>'a-1d'!H13</f>
        <v>8375.1</v>
      </c>
      <c r="H10" s="88">
        <f>'a-1d'!I13</f>
        <v>8041.9</v>
      </c>
      <c r="I10" s="88">
        <f>'a-1d'!J13</f>
        <v>8626.2999999999993</v>
      </c>
      <c r="J10" s="88">
        <f>'a-1d'!K13</f>
        <v>7042.9</v>
      </c>
      <c r="K10" s="88">
        <f>'a-1d'!L13</f>
        <v>6155.1</v>
      </c>
      <c r="L10" s="88">
        <f>'a-1d'!M13</f>
        <v>6089.2</v>
      </c>
      <c r="M10" s="88">
        <f>'a-1d'!N13</f>
        <v>7992.1</v>
      </c>
      <c r="N10" s="88">
        <f>'a-1d'!O13</f>
        <v>10004.9</v>
      </c>
      <c r="O10" s="88">
        <f>'a-1d'!P13</f>
        <v>13096.3</v>
      </c>
      <c r="P10" s="88">
        <f>'a-1d'!Q13</f>
        <v>17146.3</v>
      </c>
      <c r="Q10" s="88">
        <f>'a-1d'!R13</f>
        <v>28593.7</v>
      </c>
    </row>
    <row r="11" spans="1:18" ht="30">
      <c r="A11" s="113"/>
      <c r="B11" s="86" t="s">
        <v>163</v>
      </c>
      <c r="C11" s="85" t="s">
        <v>54</v>
      </c>
      <c r="D11" s="88"/>
      <c r="E11" s="88"/>
      <c r="F11" s="88"/>
      <c r="G11" s="88"/>
      <c r="H11" s="88"/>
      <c r="I11" s="88"/>
      <c r="J11" s="88"/>
      <c r="K11" s="88">
        <f>'a-2d'!E19</f>
        <v>154</v>
      </c>
      <c r="L11" s="88">
        <f>'a-2d'!F19</f>
        <v>1277</v>
      </c>
      <c r="M11" s="88">
        <f>'a-2d'!G19</f>
        <v>2818</v>
      </c>
      <c r="N11" s="88">
        <f>'a-2d'!H19</f>
        <v>2455</v>
      </c>
      <c r="O11" s="88">
        <f>'a-2d'!I19</f>
        <v>3084</v>
      </c>
      <c r="P11" s="88">
        <f>'a-2d'!J19</f>
        <v>2347</v>
      </c>
      <c r="Q11" s="88">
        <f>'a-2d'!K19</f>
        <v>545</v>
      </c>
    </row>
    <row r="12" spans="1:18" ht="20">
      <c r="A12" s="113"/>
      <c r="B12" s="86" t="s">
        <v>162</v>
      </c>
      <c r="C12" s="85" t="s">
        <v>84</v>
      </c>
      <c r="D12" s="88">
        <f>'a-3d'!D29</f>
        <v>113.39999999999999</v>
      </c>
      <c r="E12" s="88">
        <f>'a-3d'!E29</f>
        <v>336.09999999999997</v>
      </c>
      <c r="F12" s="88">
        <f>'a-3d'!F29</f>
        <v>509.6</v>
      </c>
      <c r="G12" s="88">
        <f>'a-3d'!G29</f>
        <v>552.29999999999995</v>
      </c>
      <c r="H12" s="88">
        <f>'a-3d'!H29</f>
        <v>528.40000000000009</v>
      </c>
      <c r="I12" s="88">
        <f>'a-3d'!I29</f>
        <v>911.9</v>
      </c>
      <c r="J12" s="88">
        <f>'a-3d'!J29</f>
        <v>797.1</v>
      </c>
      <c r="K12" s="88">
        <f>'a-3d'!K29</f>
        <v>768.1</v>
      </c>
      <c r="L12" s="88">
        <f>'a-3d'!L29</f>
        <v>390.3</v>
      </c>
      <c r="M12" s="88">
        <f>'a-3d'!M29</f>
        <v>352</v>
      </c>
      <c r="N12" s="88">
        <f>'a-3d'!N29</f>
        <v>348.4</v>
      </c>
      <c r="O12" s="88">
        <f>'a-3d'!O29</f>
        <v>674.4</v>
      </c>
      <c r="P12" s="88">
        <f>'a-3d'!P29</f>
        <v>624.4</v>
      </c>
      <c r="Q12" s="87">
        <f>'a-3d'!Q29</f>
        <v>928</v>
      </c>
    </row>
    <row r="13" spans="1:18" s="26" customFormat="1" ht="22.5" customHeight="1">
      <c r="A13" s="114" t="s">
        <v>140</v>
      </c>
      <c r="B13" s="111" t="s">
        <v>161</v>
      </c>
      <c r="C13" s="88" t="s">
        <v>160</v>
      </c>
      <c r="D13" s="88">
        <f>D10-D12</f>
        <v>5207.6000000000004</v>
      </c>
      <c r="E13" s="88">
        <f>E10-E12</f>
        <v>6225.2999999999993</v>
      </c>
      <c r="F13" s="88">
        <f t="shared" ref="F13:Q13" si="0">F10+F11-F12</f>
        <v>6644.2999999999993</v>
      </c>
      <c r="G13" s="88">
        <f t="shared" si="0"/>
        <v>7822.8</v>
      </c>
      <c r="H13" s="88">
        <f t="shared" si="0"/>
        <v>7513.5</v>
      </c>
      <c r="I13" s="88">
        <f t="shared" si="0"/>
        <v>7714.4</v>
      </c>
      <c r="J13" s="88">
        <f t="shared" si="0"/>
        <v>6245.7999999999993</v>
      </c>
      <c r="K13" s="88">
        <f t="shared" si="0"/>
        <v>5541</v>
      </c>
      <c r="L13" s="88">
        <f t="shared" si="0"/>
        <v>6975.9</v>
      </c>
      <c r="M13" s="88">
        <f t="shared" si="0"/>
        <v>10458.1</v>
      </c>
      <c r="N13" s="88">
        <f t="shared" si="0"/>
        <v>12111.5</v>
      </c>
      <c r="O13" s="88">
        <f t="shared" si="0"/>
        <v>15505.9</v>
      </c>
      <c r="P13" s="88">
        <f t="shared" si="0"/>
        <v>18868.899999999998</v>
      </c>
      <c r="Q13" s="88">
        <f t="shared" si="0"/>
        <v>28210.7</v>
      </c>
    </row>
    <row r="14" spans="1:18" ht="30">
      <c r="A14" s="113"/>
      <c r="B14" s="86" t="s">
        <v>159</v>
      </c>
      <c r="C14" s="85" t="s">
        <v>24</v>
      </c>
      <c r="D14" s="110">
        <f>'a-1d'!E18</f>
        <v>4871.1999999999989</v>
      </c>
      <c r="E14" s="110">
        <f>'a-1d'!F18</f>
        <v>5708.3</v>
      </c>
      <c r="F14" s="110">
        <f>'a-1d'!G18</f>
        <v>6800.6</v>
      </c>
      <c r="G14" s="110">
        <f>'a-1d'!H18</f>
        <v>7138</v>
      </c>
      <c r="H14" s="110">
        <f>'a-1d'!I18</f>
        <v>7366.4</v>
      </c>
      <c r="I14" s="110">
        <f>'a-1d'!J18</f>
        <v>7555</v>
      </c>
      <c r="J14" s="110">
        <f>'a-1d'!K18</f>
        <v>6442.3</v>
      </c>
      <c r="K14" s="110">
        <f>'a-1d'!L18</f>
        <v>5591.9</v>
      </c>
      <c r="L14" s="110">
        <f>'a-1d'!M18</f>
        <v>5732.0999999999995</v>
      </c>
      <c r="M14" s="110">
        <f>'a-1d'!N18</f>
        <v>6526.3</v>
      </c>
      <c r="N14" s="110">
        <f>'a-1d'!O18</f>
        <v>7941.3</v>
      </c>
      <c r="O14" s="110">
        <f>'a-1d'!P18</f>
        <v>10296.9</v>
      </c>
      <c r="P14" s="110">
        <f>'a-1d'!Q18</f>
        <v>13254.5</v>
      </c>
      <c r="Q14" s="110">
        <f>'a-1d'!R18</f>
        <v>18027.900000000001</v>
      </c>
    </row>
    <row r="15" spans="1:18" ht="33.5" customHeight="1">
      <c r="A15" s="112" t="s">
        <v>158</v>
      </c>
      <c r="B15" s="86" t="s">
        <v>157</v>
      </c>
      <c r="C15" s="85" t="s">
        <v>76</v>
      </c>
      <c r="D15" s="110">
        <f>'a-3d'!D33</f>
        <v>-336.40000000000043</v>
      </c>
      <c r="E15" s="110">
        <f>'a-3d'!E33</f>
        <v>-517</v>
      </c>
      <c r="F15" s="110">
        <f>'a-3d'!F33</f>
        <v>156.30000000000064</v>
      </c>
      <c r="G15" s="110">
        <f>'a-3d'!G33</f>
        <v>-684.80000000000018</v>
      </c>
      <c r="H15" s="110">
        <f>'a-3d'!H33</f>
        <v>-147.09999999999968</v>
      </c>
      <c r="I15" s="110">
        <f>'a-3d'!I33</f>
        <v>-159.3999999999993</v>
      </c>
      <c r="J15" s="110">
        <f>'a-3d'!J33</f>
        <v>196.50000000000068</v>
      </c>
      <c r="K15" s="110">
        <f>'a-3d'!K33</f>
        <v>50.899999999999636</v>
      </c>
      <c r="L15" s="110">
        <f>'a-3d'!L33</f>
        <v>-1243.8000000000002</v>
      </c>
      <c r="M15" s="110">
        <f>'a-3d'!M33</f>
        <v>-3931.8000000000006</v>
      </c>
      <c r="N15" s="110">
        <f>'a-3d'!N33</f>
        <v>-4170.2</v>
      </c>
      <c r="O15" s="110">
        <f>'a-3d'!O33</f>
        <v>-5209</v>
      </c>
      <c r="P15" s="110">
        <f>'a-3d'!P33</f>
        <v>-5614.3999999999978</v>
      </c>
      <c r="Q15" s="110">
        <f>'a-3d'!Q33</f>
        <v>-10182.799999999999</v>
      </c>
    </row>
    <row r="16" spans="1:18" ht="20">
      <c r="A16" s="47"/>
      <c r="B16" s="86" t="s">
        <v>156</v>
      </c>
      <c r="C16" s="85" t="s">
        <v>124</v>
      </c>
      <c r="D16" s="110">
        <f>'a-4d'!D22</f>
        <v>64.5</v>
      </c>
      <c r="E16" s="110">
        <f>'a-4d'!E22</f>
        <v>76.599999999999994</v>
      </c>
      <c r="F16" s="110">
        <f>'a-4d'!F22</f>
        <v>98.5</v>
      </c>
      <c r="G16" s="110">
        <f>'a-4d'!G22</f>
        <v>146.89999999999998</v>
      </c>
      <c r="H16" s="110">
        <f>'a-4d'!H22</f>
        <v>237.60000000000002</v>
      </c>
      <c r="I16" s="110">
        <f>'a-4d'!I22</f>
        <v>306.79999999999995</v>
      </c>
      <c r="J16" s="110">
        <f>'a-4d'!J22</f>
        <v>304.60000000000002</v>
      </c>
      <c r="K16" s="110">
        <f>'a-4d'!K22</f>
        <v>323.5</v>
      </c>
      <c r="L16" s="110">
        <f>'a-4d'!L22</f>
        <v>368.49999999999989</v>
      </c>
      <c r="M16" s="110">
        <f>'a-4d'!M22</f>
        <v>459.59999999999997</v>
      </c>
      <c r="N16" s="110">
        <f>'a-4d'!N22</f>
        <v>633.4</v>
      </c>
      <c r="O16" s="110">
        <f>'a-4d'!O22</f>
        <v>846.6</v>
      </c>
      <c r="P16" s="110">
        <f>'a-4d'!P22</f>
        <v>996.19999999999993</v>
      </c>
      <c r="Q16" s="109">
        <f>'a-4d'!Q22</f>
        <v>1426</v>
      </c>
    </row>
    <row r="17" spans="1:17" s="26" customFormat="1" ht="20">
      <c r="A17" s="81"/>
      <c r="B17" s="111" t="s">
        <v>155</v>
      </c>
      <c r="C17" s="88" t="s">
        <v>154</v>
      </c>
      <c r="D17" s="110">
        <f t="shared" ref="D17:Q17" si="1">D15+D16</f>
        <v>-271.90000000000043</v>
      </c>
      <c r="E17" s="110">
        <f t="shared" si="1"/>
        <v>-440.4</v>
      </c>
      <c r="F17" s="110">
        <f t="shared" si="1"/>
        <v>254.80000000000064</v>
      </c>
      <c r="G17" s="110">
        <f t="shared" si="1"/>
        <v>-537.9000000000002</v>
      </c>
      <c r="H17" s="110">
        <f t="shared" si="1"/>
        <v>90.500000000000341</v>
      </c>
      <c r="I17" s="110">
        <f t="shared" si="1"/>
        <v>147.40000000000066</v>
      </c>
      <c r="J17" s="110">
        <f t="shared" si="1"/>
        <v>501.1000000000007</v>
      </c>
      <c r="K17" s="110">
        <f t="shared" si="1"/>
        <v>374.39999999999964</v>
      </c>
      <c r="L17" s="110">
        <f t="shared" si="1"/>
        <v>-875.3000000000003</v>
      </c>
      <c r="M17" s="110">
        <f t="shared" si="1"/>
        <v>-3472.2000000000007</v>
      </c>
      <c r="N17" s="110">
        <f t="shared" si="1"/>
        <v>-3536.7999999999997</v>
      </c>
      <c r="O17" s="110">
        <f t="shared" si="1"/>
        <v>-4362.3999999999996</v>
      </c>
      <c r="P17" s="110">
        <f t="shared" si="1"/>
        <v>-4618.199999999998</v>
      </c>
      <c r="Q17" s="109">
        <f t="shared" si="1"/>
        <v>-8756.7999999999993</v>
      </c>
    </row>
    <row r="18" spans="1:17" ht="10.5" customHeight="1" thickBo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 ht="13" thickTop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48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  <row r="22" spans="1:17">
      <c r="A22" s="48"/>
      <c r="B22" s="47"/>
      <c r="C22" s="46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47"/>
      <c r="B23" s="47"/>
      <c r="C23" s="46"/>
      <c r="D23" s="47"/>
      <c r="E23" s="48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>
      <c r="A24" s="47"/>
      <c r="B24" s="47"/>
      <c r="C24" s="47"/>
      <c r="D24" s="47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7">
      <c r="D25" s="47"/>
      <c r="E25" s="48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>
      <c r="D26" s="47"/>
      <c r="E26" s="48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</sheetData>
  <sheetProtection sheet="1" objects="1" scenarios="1"/>
  <printOptions verticalCentered="1"/>
  <pageMargins left="0.55118110236220474" right="0.31496062992125984" top="0" bottom="0.98425196850393704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5"/>
  <sheetViews>
    <sheetView topLeftCell="A12" workbookViewId="0"/>
  </sheetViews>
  <sheetFormatPr baseColWidth="10" defaultColWidth="12.5" defaultRowHeight="12" x14ac:dyDescent="0"/>
  <cols>
    <col min="1" max="1" width="6.1640625" style="116" customWidth="1"/>
    <col min="2" max="2" width="5.6640625" style="116" customWidth="1"/>
    <col min="3" max="3" width="6.1640625" style="116" customWidth="1"/>
    <col min="4" max="4" width="6.5" style="116" customWidth="1"/>
    <col min="5" max="5" width="6.6640625" style="116" customWidth="1"/>
    <col min="6" max="6" width="5.6640625" style="118" customWidth="1"/>
    <col min="7" max="7" width="7.5" style="118" customWidth="1"/>
    <col min="8" max="8" width="6.83203125" style="116" customWidth="1"/>
    <col min="9" max="9" width="1.6640625" style="116" customWidth="1"/>
    <col min="10" max="10" width="5.83203125" style="116" customWidth="1"/>
    <col min="11" max="11" width="6.1640625" style="116" customWidth="1"/>
    <col min="12" max="12" width="6.5" style="116" customWidth="1"/>
    <col min="13" max="13" width="6.1640625" style="116" customWidth="1"/>
    <col min="14" max="14" width="6.5" style="116" customWidth="1"/>
    <col min="15" max="15" width="6.83203125" style="116" customWidth="1"/>
    <col min="16" max="16" width="1.83203125" style="116" customWidth="1"/>
    <col min="17" max="18" width="5.5" style="116" customWidth="1"/>
    <col min="19" max="19" width="7" style="116" customWidth="1"/>
    <col min="20" max="20" width="6.5" style="117" customWidth="1"/>
    <col min="21" max="21" width="7" style="2" customWidth="1"/>
    <col min="22" max="22" width="5.6640625" style="116" customWidth="1"/>
    <col min="23" max="23" width="4.83203125" style="116" customWidth="1"/>
    <col min="24" max="24" width="6.33203125" style="116" customWidth="1"/>
    <col min="25" max="25" width="6.83203125" style="116" customWidth="1"/>
    <col min="26" max="26" width="1.6640625" style="116" customWidth="1"/>
    <col min="27" max="27" width="6" style="116" customWidth="1"/>
    <col min="28" max="28" width="6.6640625" style="116" customWidth="1"/>
    <col min="29" max="29" width="2.1640625" style="116" customWidth="1"/>
    <col min="30" max="30" width="6.5" style="116" customWidth="1"/>
    <col min="31" max="31" width="6.1640625" style="116" customWidth="1"/>
    <col min="32" max="32" width="5.6640625" style="116" customWidth="1"/>
    <col min="33" max="33" width="6.5" style="116" customWidth="1"/>
    <col min="34" max="34" width="6.83203125" style="116" customWidth="1"/>
    <col min="35" max="35" width="6.1640625" style="116" customWidth="1"/>
    <col min="36" max="36" width="6.5" style="116" customWidth="1"/>
    <col min="37" max="37" width="7.33203125" style="116" customWidth="1"/>
    <col min="38" max="38" width="7.1640625" style="116" customWidth="1"/>
    <col min="39" max="39" width="2.5" style="116" customWidth="1"/>
    <col min="40" max="40" width="6" style="116" customWidth="1"/>
    <col min="41" max="42" width="5.6640625" style="116" customWidth="1"/>
    <col min="43" max="43" width="5.33203125" style="116" customWidth="1"/>
    <col min="44" max="44" width="6.33203125" style="116" customWidth="1"/>
    <col min="45" max="45" width="6" style="116" customWidth="1"/>
    <col min="46" max="46" width="7.83203125" style="116" customWidth="1"/>
    <col min="47" max="47" width="5.83203125" style="116" customWidth="1"/>
    <col min="48" max="49" width="8" style="116" customWidth="1"/>
    <col min="50" max="50" width="2.5" style="116" customWidth="1"/>
    <col min="51" max="51" width="7.5" style="116" customWidth="1"/>
    <col min="52" max="52" width="7.83203125" style="116" customWidth="1"/>
    <col min="53" max="53" width="7" style="116" customWidth="1"/>
    <col min="54" max="16384" width="12.5" style="116"/>
  </cols>
  <sheetData>
    <row r="1" spans="1:56" ht="31.5" customHeight="1"/>
    <row r="2" spans="1:56">
      <c r="S2" s="196"/>
      <c r="U2" s="196"/>
      <c r="BC2" s="196"/>
    </row>
    <row r="4" spans="1:56">
      <c r="A4" s="102" t="s">
        <v>315</v>
      </c>
      <c r="V4" s="102" t="s">
        <v>315</v>
      </c>
      <c r="AP4" s="102" t="s">
        <v>315</v>
      </c>
      <c r="AY4" s="195"/>
    </row>
    <row r="5" spans="1:56">
      <c r="A5" s="102"/>
      <c r="V5" s="102"/>
      <c r="AP5" s="102"/>
      <c r="AY5" s="195"/>
    </row>
    <row r="6" spans="1:56" s="123" customFormat="1">
      <c r="A6" s="101" t="s">
        <v>314</v>
      </c>
      <c r="F6" s="194"/>
      <c r="G6" s="194"/>
      <c r="T6" s="117"/>
      <c r="U6" s="2"/>
      <c r="V6" s="101" t="s">
        <v>167</v>
      </c>
      <c r="AP6" s="101" t="s">
        <v>167</v>
      </c>
      <c r="AY6" s="193"/>
    </row>
    <row r="7" spans="1:56" s="123" customFormat="1" ht="13" thickBot="1">
      <c r="A7" s="191"/>
      <c r="B7" s="125"/>
      <c r="C7" s="125"/>
      <c r="D7" s="125"/>
      <c r="E7" s="125"/>
      <c r="F7" s="192"/>
      <c r="G7" s="192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"/>
      <c r="T7" s="117"/>
      <c r="U7" s="2"/>
      <c r="V7" s="191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91"/>
      <c r="AQ7" s="125"/>
      <c r="AR7" s="125"/>
      <c r="AS7" s="125"/>
      <c r="AT7" s="125"/>
      <c r="AU7" s="125"/>
      <c r="AV7" s="125"/>
      <c r="AW7" s="125"/>
      <c r="AX7" s="125"/>
      <c r="AY7" s="190"/>
      <c r="AZ7" s="125"/>
      <c r="BA7" s="125"/>
    </row>
    <row r="8" spans="1:56" ht="13" thickTop="1">
      <c r="A8" s="101"/>
      <c r="Q8" s="166" t="s">
        <v>313</v>
      </c>
      <c r="S8" s="2"/>
      <c r="V8" s="101"/>
      <c r="X8" s="145" t="s">
        <v>312</v>
      </c>
      <c r="AA8" s="145" t="s">
        <v>311</v>
      </c>
      <c r="AD8" s="145" t="s">
        <v>310</v>
      </c>
      <c r="AE8" s="145"/>
      <c r="AP8" s="101"/>
      <c r="BA8" s="123"/>
      <c r="BB8" s="123"/>
      <c r="BC8" s="123"/>
      <c r="BD8" s="123"/>
    </row>
    <row r="9" spans="1:56">
      <c r="A9" s="101"/>
      <c r="C9" s="186" t="s">
        <v>309</v>
      </c>
      <c r="D9" s="184"/>
      <c r="E9" s="184"/>
      <c r="F9" s="189"/>
      <c r="G9" s="189"/>
      <c r="H9" s="184"/>
      <c r="J9" s="186" t="s">
        <v>308</v>
      </c>
      <c r="K9" s="184"/>
      <c r="L9" s="184"/>
      <c r="M9" s="184"/>
      <c r="N9" s="184"/>
      <c r="O9" s="184"/>
      <c r="P9" s="123"/>
      <c r="Q9" s="186" t="s">
        <v>307</v>
      </c>
      <c r="R9" s="184"/>
      <c r="S9" s="2"/>
      <c r="V9" s="101"/>
      <c r="X9" s="188" t="s">
        <v>306</v>
      </c>
      <c r="Y9" s="184"/>
      <c r="Z9" s="123"/>
      <c r="AA9" s="188" t="s">
        <v>305</v>
      </c>
      <c r="AB9" s="184"/>
      <c r="AC9" s="123"/>
      <c r="AD9" s="181" t="s">
        <v>304</v>
      </c>
      <c r="AE9" s="123"/>
      <c r="AF9" s="188" t="s">
        <v>303</v>
      </c>
      <c r="AG9" s="184"/>
      <c r="AH9" s="184"/>
      <c r="AI9" s="184"/>
      <c r="AJ9" s="184"/>
      <c r="AK9" s="184"/>
      <c r="AL9" s="184"/>
      <c r="AM9" s="123"/>
      <c r="AN9" s="187" t="s">
        <v>302</v>
      </c>
      <c r="AO9" s="184"/>
      <c r="AP9" s="101"/>
      <c r="AR9" s="186" t="s">
        <v>301</v>
      </c>
      <c r="AS9" s="184"/>
      <c r="AT9" s="184"/>
      <c r="AU9" s="184"/>
      <c r="AV9" s="184"/>
      <c r="AW9" s="184"/>
      <c r="AX9" s="123"/>
      <c r="AY9" s="185" t="s">
        <v>300</v>
      </c>
      <c r="AZ9" s="184"/>
      <c r="BA9" s="184"/>
      <c r="BB9" s="123"/>
      <c r="BC9" s="123"/>
      <c r="BD9" s="123"/>
    </row>
    <row r="10" spans="1:56">
      <c r="A10" s="101"/>
      <c r="C10" s="166"/>
      <c r="J10" s="121"/>
      <c r="S10" s="2"/>
      <c r="V10" s="101"/>
      <c r="AP10" s="101"/>
      <c r="BB10" s="123"/>
      <c r="BC10" s="123"/>
      <c r="BD10" s="123"/>
    </row>
    <row r="11" spans="1:56">
      <c r="A11" s="101"/>
      <c r="C11" s="166"/>
      <c r="D11" s="167"/>
      <c r="E11" s="165" t="s">
        <v>299</v>
      </c>
      <c r="F11" s="183"/>
      <c r="G11" s="183"/>
      <c r="H11" s="182"/>
      <c r="I11" s="167"/>
      <c r="J11" s="166"/>
      <c r="K11" s="167"/>
      <c r="L11" s="166" t="s">
        <v>299</v>
      </c>
      <c r="M11" s="167"/>
      <c r="N11" s="167"/>
      <c r="O11" s="167"/>
      <c r="P11" s="167"/>
      <c r="Q11" s="167"/>
      <c r="R11" s="167"/>
      <c r="S11" s="2"/>
      <c r="V11" s="101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81" t="s">
        <v>298</v>
      </c>
      <c r="AI11" s="180"/>
      <c r="AJ11" s="167"/>
      <c r="AK11" s="167"/>
      <c r="AL11" s="167"/>
      <c r="AM11" s="167"/>
      <c r="AN11" s="167"/>
      <c r="AO11" s="167"/>
      <c r="AP11" s="101"/>
      <c r="AR11" s="167"/>
      <c r="AS11" s="167"/>
      <c r="AT11" s="167"/>
      <c r="AU11" s="167"/>
      <c r="AV11" s="167"/>
      <c r="AW11" s="167"/>
      <c r="AX11" s="167"/>
      <c r="AY11" s="167"/>
      <c r="AZ11" s="167"/>
      <c r="BA11" s="123"/>
      <c r="BB11" s="123"/>
      <c r="BC11" s="123"/>
      <c r="BD11" s="123"/>
    </row>
    <row r="12" spans="1:56">
      <c r="C12" s="165"/>
      <c r="D12" s="165" t="s">
        <v>294</v>
      </c>
      <c r="E12" s="164" t="s">
        <v>297</v>
      </c>
      <c r="F12" s="168" t="s">
        <v>296</v>
      </c>
      <c r="G12" s="168" t="s">
        <v>291</v>
      </c>
      <c r="H12" s="164" t="s">
        <v>291</v>
      </c>
      <c r="I12" s="164"/>
      <c r="J12" s="165"/>
      <c r="K12" s="164" t="s">
        <v>294</v>
      </c>
      <c r="L12" s="164" t="s">
        <v>297</v>
      </c>
      <c r="M12" s="164" t="s">
        <v>296</v>
      </c>
      <c r="N12" s="164" t="s">
        <v>291</v>
      </c>
      <c r="O12" s="164" t="s">
        <v>291</v>
      </c>
      <c r="P12" s="164"/>
      <c r="Q12" s="165"/>
      <c r="R12" s="164"/>
      <c r="S12" s="2"/>
      <c r="X12" s="167"/>
      <c r="Y12" s="164" t="s">
        <v>294</v>
      </c>
      <c r="Z12" s="164"/>
      <c r="AA12" s="165"/>
      <c r="AB12" s="164" t="s">
        <v>294</v>
      </c>
      <c r="AC12" s="164"/>
      <c r="AD12" s="165"/>
      <c r="AE12" s="164" t="s">
        <v>294</v>
      </c>
      <c r="AF12" s="165"/>
      <c r="AG12" s="164" t="s">
        <v>294</v>
      </c>
      <c r="AH12" s="164"/>
      <c r="AI12" s="164" t="s">
        <v>295</v>
      </c>
      <c r="AJ12" s="165" t="s">
        <v>292</v>
      </c>
      <c r="AK12" s="165" t="s">
        <v>291</v>
      </c>
      <c r="AL12" s="164" t="s">
        <v>291</v>
      </c>
      <c r="AM12" s="164"/>
      <c r="AN12" s="165"/>
      <c r="AO12" s="164"/>
      <c r="AR12" s="165"/>
      <c r="AS12" s="164" t="s">
        <v>294</v>
      </c>
      <c r="AT12" s="165" t="s">
        <v>293</v>
      </c>
      <c r="AU12" s="165" t="s">
        <v>292</v>
      </c>
      <c r="AV12" s="164" t="s">
        <v>291</v>
      </c>
      <c r="AW12" s="164" t="s">
        <v>291</v>
      </c>
      <c r="AX12" s="164"/>
      <c r="AY12" s="179" t="s">
        <v>37</v>
      </c>
      <c r="AZ12" s="164"/>
      <c r="BA12" s="163"/>
      <c r="BB12" s="123"/>
      <c r="BC12" s="123"/>
      <c r="BD12" s="123"/>
    </row>
    <row r="13" spans="1:56" s="123" customFormat="1">
      <c r="A13" s="176" t="s">
        <v>286</v>
      </c>
      <c r="B13" s="176" t="s">
        <v>285</v>
      </c>
      <c r="C13" s="175" t="s">
        <v>282</v>
      </c>
      <c r="D13" s="175" t="s">
        <v>281</v>
      </c>
      <c r="E13" s="174" t="s">
        <v>288</v>
      </c>
      <c r="F13" s="178" t="s">
        <v>283</v>
      </c>
      <c r="G13" s="178" t="s">
        <v>282</v>
      </c>
      <c r="H13" s="175" t="s">
        <v>281</v>
      </c>
      <c r="I13" s="174"/>
      <c r="J13" s="175" t="s">
        <v>282</v>
      </c>
      <c r="K13" s="174" t="s">
        <v>281</v>
      </c>
      <c r="L13" s="174" t="s">
        <v>288</v>
      </c>
      <c r="M13" s="174" t="s">
        <v>283</v>
      </c>
      <c r="N13" s="174" t="s">
        <v>282</v>
      </c>
      <c r="O13" s="174" t="s">
        <v>290</v>
      </c>
      <c r="P13" s="174"/>
      <c r="Q13" s="175" t="s">
        <v>282</v>
      </c>
      <c r="R13" s="174" t="s">
        <v>289</v>
      </c>
      <c r="S13" s="2"/>
      <c r="T13" s="117"/>
      <c r="U13" s="2"/>
      <c r="V13" s="176" t="s">
        <v>286</v>
      </c>
      <c r="W13" s="176" t="s">
        <v>285</v>
      </c>
      <c r="X13" s="177"/>
      <c r="Y13" s="174" t="s">
        <v>281</v>
      </c>
      <c r="Z13" s="174"/>
      <c r="AA13" s="175" t="s">
        <v>282</v>
      </c>
      <c r="AB13" s="174" t="s">
        <v>281</v>
      </c>
      <c r="AC13" s="174"/>
      <c r="AD13" s="175" t="s">
        <v>282</v>
      </c>
      <c r="AE13" s="174" t="s">
        <v>281</v>
      </c>
      <c r="AF13" s="175" t="s">
        <v>282</v>
      </c>
      <c r="AG13" s="174" t="s">
        <v>281</v>
      </c>
      <c r="AH13" s="174" t="s">
        <v>288</v>
      </c>
      <c r="AI13" s="174" t="s">
        <v>287</v>
      </c>
      <c r="AJ13" s="175" t="s">
        <v>283</v>
      </c>
      <c r="AK13" s="175" t="s">
        <v>282</v>
      </c>
      <c r="AL13" s="174" t="s">
        <v>281</v>
      </c>
      <c r="AM13" s="174"/>
      <c r="AN13" s="175" t="s">
        <v>282</v>
      </c>
      <c r="AO13" s="174" t="s">
        <v>281</v>
      </c>
      <c r="AP13" s="176" t="s">
        <v>286</v>
      </c>
      <c r="AQ13" s="176" t="s">
        <v>285</v>
      </c>
      <c r="AR13" s="175" t="s">
        <v>282</v>
      </c>
      <c r="AS13" s="174" t="s">
        <v>281</v>
      </c>
      <c r="AT13" s="175" t="s">
        <v>284</v>
      </c>
      <c r="AU13" s="175" t="s">
        <v>283</v>
      </c>
      <c r="AV13" s="174" t="s">
        <v>282</v>
      </c>
      <c r="AW13" s="174" t="s">
        <v>281</v>
      </c>
      <c r="AX13" s="174"/>
      <c r="AY13" s="174" t="s">
        <v>282</v>
      </c>
      <c r="AZ13" s="174" t="s">
        <v>281</v>
      </c>
      <c r="BA13" s="163"/>
    </row>
    <row r="14" spans="1:56" s="123" customFormat="1" ht="13" thickBot="1">
      <c r="A14" s="171"/>
      <c r="B14" s="171"/>
      <c r="C14" s="170"/>
      <c r="D14" s="170"/>
      <c r="E14" s="169"/>
      <c r="F14" s="173"/>
      <c r="G14" s="173"/>
      <c r="H14" s="169"/>
      <c r="I14" s="169"/>
      <c r="J14" s="170"/>
      <c r="K14" s="169"/>
      <c r="L14" s="169"/>
      <c r="M14" s="169"/>
      <c r="N14" s="169"/>
      <c r="O14" s="169"/>
      <c r="P14" s="169"/>
      <c r="Q14" s="170"/>
      <c r="R14" s="169"/>
      <c r="S14" s="2"/>
      <c r="T14" s="117"/>
      <c r="U14" s="2"/>
      <c r="V14" s="171"/>
      <c r="W14" s="171"/>
      <c r="X14" s="172"/>
      <c r="Y14" s="169"/>
      <c r="Z14" s="169"/>
      <c r="AA14" s="170"/>
      <c r="AB14" s="169"/>
      <c r="AC14" s="169"/>
      <c r="AD14" s="169"/>
      <c r="AE14" s="169"/>
      <c r="AF14" s="170"/>
      <c r="AG14" s="169"/>
      <c r="AH14" s="169"/>
      <c r="AI14" s="169"/>
      <c r="AJ14" s="170"/>
      <c r="AK14" s="170"/>
      <c r="AL14" s="169"/>
      <c r="AM14" s="169"/>
      <c r="AN14" s="170"/>
      <c r="AO14" s="169"/>
      <c r="AP14" s="171"/>
      <c r="AQ14" s="171"/>
      <c r="AR14" s="170"/>
      <c r="AS14" s="169"/>
      <c r="AT14" s="170"/>
      <c r="AU14" s="170"/>
      <c r="AV14" s="169"/>
      <c r="AW14" s="169"/>
      <c r="AX14" s="169"/>
      <c r="AY14" s="169"/>
      <c r="AZ14" s="169"/>
      <c r="BA14" s="169"/>
    </row>
    <row r="15" spans="1:56" ht="13" thickTop="1">
      <c r="A15" s="166"/>
      <c r="B15" s="166"/>
      <c r="C15" s="165"/>
      <c r="D15" s="165"/>
      <c r="E15" s="164"/>
      <c r="F15" s="168"/>
      <c r="G15" s="168"/>
      <c r="H15" s="164"/>
      <c r="I15" s="164"/>
      <c r="J15" s="165"/>
      <c r="K15" s="164"/>
      <c r="L15" s="164"/>
      <c r="M15" s="164"/>
      <c r="N15" s="164"/>
      <c r="O15" s="164"/>
      <c r="P15" s="164"/>
      <c r="Q15" s="165"/>
      <c r="R15" s="164"/>
      <c r="S15" s="2"/>
      <c r="V15" s="166"/>
      <c r="W15" s="166"/>
      <c r="X15" s="167"/>
      <c r="Y15" s="164"/>
      <c r="Z15" s="164"/>
      <c r="AA15" s="165"/>
      <c r="AB15" s="164"/>
      <c r="AC15" s="164"/>
      <c r="AD15" s="164"/>
      <c r="AE15" s="164"/>
      <c r="AF15" s="165"/>
      <c r="AG15" s="164"/>
      <c r="AH15" s="164"/>
      <c r="AI15" s="164"/>
      <c r="AJ15" s="165"/>
      <c r="AK15" s="165"/>
      <c r="AL15" s="164"/>
      <c r="AM15" s="164"/>
      <c r="AN15" s="165"/>
      <c r="AO15" s="164"/>
      <c r="AP15" s="166"/>
      <c r="AQ15" s="166"/>
      <c r="AR15" s="165"/>
      <c r="AS15" s="164"/>
      <c r="AT15" s="165"/>
      <c r="AU15" s="165"/>
      <c r="AV15" s="164"/>
      <c r="AW15" s="164"/>
      <c r="AX15" s="164"/>
      <c r="AY15" s="164"/>
      <c r="AZ15" s="164"/>
      <c r="BA15" s="163"/>
      <c r="BB15" s="123"/>
      <c r="BC15" s="123"/>
      <c r="BD15" s="123"/>
    </row>
    <row r="16" spans="1:56" s="150" customFormat="1">
      <c r="A16" s="160"/>
      <c r="B16" s="160"/>
      <c r="C16" s="130" t="s">
        <v>280</v>
      </c>
      <c r="D16" s="130" t="s">
        <v>279</v>
      </c>
      <c r="E16" s="159" t="s">
        <v>278</v>
      </c>
      <c r="F16" s="162" t="s">
        <v>277</v>
      </c>
      <c r="G16" s="162" t="s">
        <v>276</v>
      </c>
      <c r="H16" s="159" t="s">
        <v>275</v>
      </c>
      <c r="I16" s="159"/>
      <c r="J16" s="130" t="s">
        <v>274</v>
      </c>
      <c r="K16" s="159" t="s">
        <v>273</v>
      </c>
      <c r="L16" s="159" t="s">
        <v>272</v>
      </c>
      <c r="M16" s="159" t="s">
        <v>271</v>
      </c>
      <c r="N16" s="159" t="s">
        <v>270</v>
      </c>
      <c r="O16" s="159" t="s">
        <v>269</v>
      </c>
      <c r="P16" s="159"/>
      <c r="Q16" s="130" t="s">
        <v>268</v>
      </c>
      <c r="R16" s="159" t="s">
        <v>267</v>
      </c>
      <c r="S16" s="2"/>
      <c r="T16" s="117"/>
      <c r="U16" s="2"/>
      <c r="V16" s="160"/>
      <c r="W16" s="160"/>
      <c r="X16" s="159" t="s">
        <v>266</v>
      </c>
      <c r="Y16" s="159" t="s">
        <v>265</v>
      </c>
      <c r="Z16" s="159"/>
      <c r="AA16" s="130" t="s">
        <v>264</v>
      </c>
      <c r="AB16" s="159" t="s">
        <v>263</v>
      </c>
      <c r="AC16" s="159"/>
      <c r="AD16" s="159" t="s">
        <v>262</v>
      </c>
      <c r="AE16" s="159" t="s">
        <v>261</v>
      </c>
      <c r="AF16" s="130" t="s">
        <v>260</v>
      </c>
      <c r="AG16" s="159" t="s">
        <v>259</v>
      </c>
      <c r="AH16" s="130" t="s">
        <v>258</v>
      </c>
      <c r="AI16" s="159" t="s">
        <v>257</v>
      </c>
      <c r="AJ16" s="130" t="s">
        <v>256</v>
      </c>
      <c r="AK16" s="130" t="s">
        <v>255</v>
      </c>
      <c r="AL16" s="130" t="s">
        <v>254</v>
      </c>
      <c r="AN16" s="161" t="s">
        <v>253</v>
      </c>
      <c r="AO16" s="159" t="s">
        <v>252</v>
      </c>
      <c r="AP16" s="160"/>
      <c r="AQ16" s="160"/>
      <c r="AR16" s="130" t="s">
        <v>251</v>
      </c>
      <c r="AS16" s="159" t="s">
        <v>250</v>
      </c>
      <c r="AT16" s="130"/>
      <c r="AU16" s="130" t="s">
        <v>249</v>
      </c>
      <c r="AV16" s="159" t="s">
        <v>248</v>
      </c>
      <c r="AW16" s="159" t="s">
        <v>247</v>
      </c>
      <c r="AX16" s="159"/>
      <c r="AY16" s="159" t="s">
        <v>246</v>
      </c>
      <c r="AZ16" s="159" t="s">
        <v>245</v>
      </c>
      <c r="BA16" s="158"/>
      <c r="BB16" s="157"/>
      <c r="BC16" s="157"/>
      <c r="BD16" s="157"/>
    </row>
    <row r="17" spans="1:53" s="150" customFormat="1" ht="13" thickBot="1">
      <c r="A17" s="153"/>
      <c r="B17" s="153"/>
      <c r="C17" s="152"/>
      <c r="D17" s="152"/>
      <c r="E17" s="151"/>
      <c r="F17" s="156"/>
      <c r="G17" s="156"/>
      <c r="H17" s="151"/>
      <c r="I17" s="151"/>
      <c r="J17" s="152"/>
      <c r="K17" s="151"/>
      <c r="L17" s="151"/>
      <c r="M17" s="151"/>
      <c r="N17" s="151"/>
      <c r="O17" s="151"/>
      <c r="P17" s="151"/>
      <c r="Q17" s="152"/>
      <c r="R17" s="151"/>
      <c r="S17" s="2"/>
      <c r="T17" s="117"/>
      <c r="U17" s="2"/>
      <c r="V17" s="153"/>
      <c r="W17" s="153"/>
      <c r="X17" s="151"/>
      <c r="Y17" s="151"/>
      <c r="Z17" s="151"/>
      <c r="AA17" s="152"/>
      <c r="AB17" s="151"/>
      <c r="AC17" s="151"/>
      <c r="AD17" s="151"/>
      <c r="AE17" s="151"/>
      <c r="AF17" s="152"/>
      <c r="AG17" s="151"/>
      <c r="AH17" s="152"/>
      <c r="AI17" s="151"/>
      <c r="AJ17" s="152"/>
      <c r="AK17" s="152"/>
      <c r="AL17" s="152"/>
      <c r="AM17" s="155"/>
      <c r="AN17" s="154"/>
      <c r="AO17" s="151"/>
      <c r="AP17" s="153"/>
      <c r="AQ17" s="153"/>
      <c r="AR17" s="152"/>
      <c r="AS17" s="151"/>
      <c r="AT17" s="152"/>
      <c r="AU17" s="152"/>
      <c r="AV17" s="151"/>
      <c r="AW17" s="151"/>
      <c r="AX17" s="151"/>
      <c r="AY17" s="151"/>
      <c r="AZ17" s="151"/>
      <c r="BA17" s="151"/>
    </row>
    <row r="18" spans="1:53" ht="13" thickTop="1">
      <c r="A18" s="148"/>
      <c r="B18" s="148"/>
      <c r="C18" s="147"/>
      <c r="D18" s="147"/>
      <c r="E18" s="146"/>
      <c r="F18" s="149"/>
      <c r="G18" s="149"/>
      <c r="H18" s="146"/>
      <c r="I18" s="146"/>
      <c r="J18" s="147"/>
      <c r="K18" s="146"/>
      <c r="L18" s="146"/>
      <c r="M18" s="146"/>
      <c r="N18" s="146"/>
      <c r="O18" s="146"/>
      <c r="P18" s="146"/>
      <c r="Q18" s="147"/>
      <c r="R18" s="146"/>
      <c r="S18" s="2"/>
      <c r="V18" s="148"/>
      <c r="W18" s="148"/>
      <c r="X18" s="146"/>
      <c r="Y18" s="146"/>
      <c r="Z18" s="146"/>
      <c r="AA18" s="147"/>
      <c r="AB18" s="146"/>
      <c r="AC18" s="146"/>
      <c r="AD18" s="146"/>
      <c r="AE18" s="146"/>
      <c r="AF18" s="147"/>
      <c r="AG18" s="146"/>
      <c r="AH18" s="146"/>
      <c r="AI18" s="146"/>
      <c r="AJ18" s="147"/>
      <c r="AK18" s="147"/>
      <c r="AL18" s="146"/>
      <c r="AM18" s="146"/>
      <c r="AN18" s="147"/>
      <c r="AO18" s="146"/>
      <c r="AP18" s="148"/>
      <c r="AQ18" s="148"/>
      <c r="AR18" s="147"/>
      <c r="AS18" s="146"/>
      <c r="AT18" s="147"/>
      <c r="AU18" s="147"/>
      <c r="AV18" s="146"/>
      <c r="AW18" s="146"/>
      <c r="AX18" s="146"/>
      <c r="AY18" s="146"/>
      <c r="AZ18" s="146"/>
      <c r="BA18" s="145"/>
    </row>
    <row r="19" spans="1:53">
      <c r="A19" s="144"/>
      <c r="B19" s="130" t="s">
        <v>244</v>
      </c>
      <c r="C19" s="119">
        <v>1516.8</v>
      </c>
      <c r="D19" s="119">
        <f>SUM(C19:C22)</f>
        <v>6809.7999999999993</v>
      </c>
      <c r="E19" s="129"/>
      <c r="F19" s="133"/>
      <c r="G19" s="133">
        <f t="shared" ref="G19:G50" si="0">C19+F19</f>
        <v>1516.8</v>
      </c>
      <c r="H19" s="129">
        <f>SUM(G19:G22)</f>
        <v>6816.4000000000005</v>
      </c>
      <c r="I19" s="129"/>
      <c r="J19" s="119">
        <v>423.5</v>
      </c>
      <c r="K19" s="119">
        <f>SUM(J19:J22)</f>
        <v>2341.2000000000003</v>
      </c>
      <c r="L19" s="129"/>
      <c r="M19" s="129"/>
      <c r="N19" s="129">
        <f t="shared" ref="N19:N50" si="1">J19+M19</f>
        <v>423.5</v>
      </c>
      <c r="O19" s="129">
        <f>SUM(N19:N22)</f>
        <v>2446.875</v>
      </c>
      <c r="P19" s="129"/>
      <c r="Q19" s="129">
        <v>0</v>
      </c>
      <c r="R19" s="129">
        <f>SUM(Q19:Q22)</f>
        <v>0</v>
      </c>
      <c r="S19" s="2"/>
      <c r="V19" s="144"/>
      <c r="W19" s="130" t="s">
        <v>244</v>
      </c>
      <c r="X19" s="129">
        <f t="shared" ref="X19:X50" si="2">G19-N19-Q19</f>
        <v>1093.3</v>
      </c>
      <c r="Y19" s="129">
        <f>SUM(X19:X22)</f>
        <v>4369.5250000000005</v>
      </c>
      <c r="Z19" s="129"/>
      <c r="AA19" s="119">
        <v>0</v>
      </c>
      <c r="AB19" s="129">
        <f>SUM(AA19:AA22)</f>
        <v>75.224999999999994</v>
      </c>
      <c r="AC19" s="129"/>
      <c r="AD19" s="129">
        <f>X19+AA19</f>
        <v>1093.3</v>
      </c>
      <c r="AE19" s="129">
        <f>Y19+AB19</f>
        <v>4444.7500000000009</v>
      </c>
      <c r="AF19" s="119">
        <v>84.5</v>
      </c>
      <c r="AG19" s="129">
        <f>SUM(AF19:AF22)</f>
        <v>493</v>
      </c>
      <c r="AH19" s="129"/>
      <c r="AI19" s="129"/>
      <c r="AJ19" s="136">
        <v>-41.9</v>
      </c>
      <c r="AK19" s="119">
        <f t="shared" ref="AK19:AK47" si="3">AF19+AJ19</f>
        <v>42.6</v>
      </c>
      <c r="AL19" s="129">
        <f>SUM(AK19:AK22)</f>
        <v>325.39999999999998</v>
      </c>
      <c r="AM19" s="129"/>
      <c r="AN19" s="119">
        <v>0</v>
      </c>
      <c r="AO19" s="129">
        <f>SUM(AN19:AN22)</f>
        <v>0</v>
      </c>
      <c r="AP19" s="144"/>
      <c r="AQ19" s="130" t="s">
        <v>244</v>
      </c>
      <c r="AR19" s="119">
        <v>99.4</v>
      </c>
      <c r="AS19" s="129">
        <f>SUM(AR19:AR22)</f>
        <v>-289.39999999999998</v>
      </c>
      <c r="AT19" s="119"/>
      <c r="AU19" s="119"/>
      <c r="AV19" s="129">
        <f t="shared" ref="AV19:AV50" si="4">AR19-AU19</f>
        <v>99.4</v>
      </c>
      <c r="AW19" s="129">
        <f>SUM(AV19:AV22)</f>
        <v>-197.07500000000007</v>
      </c>
      <c r="AX19" s="129"/>
      <c r="AY19" s="129">
        <f t="shared" ref="AY19:AY50" si="5">G19-N19-Q19+AA19+AK19+AN19+AV19</f>
        <v>1235.3</v>
      </c>
      <c r="AZ19" s="129">
        <f>SUM(AY19:AY22)</f>
        <v>4573.0749999999989</v>
      </c>
    </row>
    <row r="20" spans="1:53">
      <c r="A20" s="131" t="s">
        <v>243</v>
      </c>
      <c r="B20" s="130" t="s">
        <v>242</v>
      </c>
      <c r="C20" s="119">
        <v>1514.8</v>
      </c>
      <c r="D20" s="119">
        <f>SUM(C20:C23)</f>
        <v>7311.7</v>
      </c>
      <c r="E20" s="129">
        <v>7320.5</v>
      </c>
      <c r="F20" s="133">
        <f>(E$20-D$20)/4</f>
        <v>2.2000000000000455</v>
      </c>
      <c r="G20" s="133">
        <f t="shared" si="0"/>
        <v>1517</v>
      </c>
      <c r="H20" s="119">
        <f>SUM(G20:G23)</f>
        <v>7320.5</v>
      </c>
      <c r="I20" s="129"/>
      <c r="J20" s="119">
        <v>578.70000000000005</v>
      </c>
      <c r="K20" s="119">
        <f>SUM(J20:J23)</f>
        <v>2629.5</v>
      </c>
      <c r="L20" s="129">
        <v>2770.4</v>
      </c>
      <c r="M20" s="129">
        <f>(L$20-K$20)/4</f>
        <v>35.225000000000023</v>
      </c>
      <c r="N20" s="129">
        <f t="shared" si="1"/>
        <v>613.92500000000007</v>
      </c>
      <c r="O20" s="119">
        <f>SUM(N20:N23)</f>
        <v>2770.4</v>
      </c>
      <c r="P20" s="119"/>
      <c r="Q20" s="129">
        <v>0</v>
      </c>
      <c r="R20" s="129">
        <f>SUM(Q20:Q23)</f>
        <v>0</v>
      </c>
      <c r="S20" s="2"/>
      <c r="V20" s="131" t="s">
        <v>243</v>
      </c>
      <c r="W20" s="130" t="s">
        <v>242</v>
      </c>
      <c r="X20" s="129">
        <f t="shared" si="2"/>
        <v>903.07499999999993</v>
      </c>
      <c r="Y20" s="129">
        <f>SUM(X20:X23)</f>
        <v>4550.1000000000004</v>
      </c>
      <c r="Z20" s="129"/>
      <c r="AA20" s="119">
        <f>100.3/4</f>
        <v>25.074999999999999</v>
      </c>
      <c r="AB20" s="129">
        <f>SUM(AA20:AA23)</f>
        <v>100.3</v>
      </c>
      <c r="AC20" s="129"/>
      <c r="AD20" s="129">
        <f>X20+AA20</f>
        <v>928.15</v>
      </c>
      <c r="AE20" s="129">
        <f>Y20+AB20</f>
        <v>4650.4000000000005</v>
      </c>
      <c r="AF20" s="119">
        <v>161.1</v>
      </c>
      <c r="AG20" s="119">
        <f>SUM(AF20:AF23)</f>
        <v>474.7</v>
      </c>
      <c r="AH20" s="129">
        <v>307.10000000000002</v>
      </c>
      <c r="AI20" s="129"/>
      <c r="AJ20" s="136">
        <v>-41.9</v>
      </c>
      <c r="AK20" s="119">
        <f t="shared" si="3"/>
        <v>119.19999999999999</v>
      </c>
      <c r="AL20" s="129">
        <f>SUM(AK20:AK23)</f>
        <v>307.10000000000002</v>
      </c>
      <c r="AM20" s="129"/>
      <c r="AN20" s="119">
        <v>0</v>
      </c>
      <c r="AO20" s="129">
        <f>SUM(AN20:AN23)</f>
        <v>473.3</v>
      </c>
      <c r="AP20" s="131" t="s">
        <v>243</v>
      </c>
      <c r="AQ20" s="130" t="s">
        <v>242</v>
      </c>
      <c r="AR20" s="119">
        <v>35.1</v>
      </c>
      <c r="AS20" s="119">
        <f>SUM(AR20:AR23)</f>
        <v>-659.8</v>
      </c>
      <c r="AT20" s="119">
        <f>-(891.9-(828.5-473.3))</f>
        <v>-536.70000000000005</v>
      </c>
      <c r="AU20" s="136">
        <f>(AS$20-AT$20)/4</f>
        <v>-30.774999999999977</v>
      </c>
      <c r="AV20" s="129">
        <f t="shared" si="4"/>
        <v>65.874999999999972</v>
      </c>
      <c r="AW20" s="119">
        <f>SUM(AV20:AV23)</f>
        <v>-536.70000000000005</v>
      </c>
      <c r="AX20" s="119"/>
      <c r="AY20" s="129">
        <f t="shared" si="5"/>
        <v>1113.2249999999999</v>
      </c>
      <c r="AZ20" s="119">
        <f>SUM(AY20:AY23)</f>
        <v>4894.1000000000004</v>
      </c>
      <c r="BA20" s="143"/>
    </row>
    <row r="21" spans="1:53">
      <c r="A21" s="131" t="s">
        <v>169</v>
      </c>
      <c r="B21" s="130" t="s">
        <v>241</v>
      </c>
      <c r="C21" s="119">
        <v>1784.3</v>
      </c>
      <c r="D21" s="119"/>
      <c r="E21" s="129"/>
      <c r="F21" s="133">
        <f>(E$20-D$20)/4</f>
        <v>2.2000000000000455</v>
      </c>
      <c r="G21" s="133">
        <f t="shared" si="0"/>
        <v>1786.5</v>
      </c>
      <c r="H21" s="129"/>
      <c r="I21" s="129"/>
      <c r="J21" s="119">
        <v>631.6</v>
      </c>
      <c r="K21" s="129"/>
      <c r="L21" s="129"/>
      <c r="M21" s="129">
        <f>(L$20-K$20)/4</f>
        <v>35.225000000000023</v>
      </c>
      <c r="N21" s="129">
        <f t="shared" si="1"/>
        <v>666.82500000000005</v>
      </c>
      <c r="O21" s="129"/>
      <c r="P21" s="129"/>
      <c r="Q21" s="129">
        <v>0</v>
      </c>
      <c r="R21" s="129"/>
      <c r="S21" s="2"/>
      <c r="V21" s="131" t="s">
        <v>169</v>
      </c>
      <c r="W21" s="130" t="s">
        <v>241</v>
      </c>
      <c r="X21" s="129">
        <f t="shared" si="2"/>
        <v>1119.675</v>
      </c>
      <c r="Y21" s="129"/>
      <c r="Z21" s="129"/>
      <c r="AA21" s="119">
        <f>100.3/4</f>
        <v>25.074999999999999</v>
      </c>
      <c r="AB21" s="129"/>
      <c r="AC21" s="129"/>
      <c r="AD21" s="129">
        <f t="shared" ref="AD21:AD52" si="6">X21+AA21</f>
        <v>1144.75</v>
      </c>
      <c r="AE21" s="129"/>
      <c r="AF21" s="119">
        <v>121.7</v>
      </c>
      <c r="AG21" s="129"/>
      <c r="AH21" s="129"/>
      <c r="AI21" s="129"/>
      <c r="AJ21" s="136">
        <v>-41.9</v>
      </c>
      <c r="AK21" s="119">
        <f t="shared" si="3"/>
        <v>79.800000000000011</v>
      </c>
      <c r="AL21" s="129"/>
      <c r="AM21" s="129"/>
      <c r="AN21" s="119">
        <v>0</v>
      </c>
      <c r="AO21" s="129"/>
      <c r="AP21" s="131" t="s">
        <v>169</v>
      </c>
      <c r="AQ21" s="130" t="s">
        <v>241</v>
      </c>
      <c r="AR21" s="119">
        <v>-184.3</v>
      </c>
      <c r="AS21" s="129"/>
      <c r="AT21" s="119"/>
      <c r="AU21" s="136">
        <f>(AS$20-AT$20)/4</f>
        <v>-30.774999999999977</v>
      </c>
      <c r="AV21" s="129">
        <f t="shared" si="4"/>
        <v>-153.52500000000003</v>
      </c>
      <c r="AW21" s="129"/>
      <c r="AX21" s="129"/>
      <c r="AY21" s="129">
        <f t="shared" si="5"/>
        <v>1071.0249999999999</v>
      </c>
      <c r="AZ21" s="129"/>
      <c r="BA21" s="143"/>
    </row>
    <row r="22" spans="1:53">
      <c r="A22" s="131" t="s">
        <v>169</v>
      </c>
      <c r="B22" s="130" t="s">
        <v>240</v>
      </c>
      <c r="C22" s="119">
        <v>1993.9</v>
      </c>
      <c r="D22" s="119"/>
      <c r="E22" s="129"/>
      <c r="F22" s="133">
        <f>(E$20-D$20)/4</f>
        <v>2.2000000000000455</v>
      </c>
      <c r="G22" s="133">
        <f t="shared" si="0"/>
        <v>1996.1000000000001</v>
      </c>
      <c r="H22" s="129"/>
      <c r="I22" s="129"/>
      <c r="J22" s="119">
        <v>707.4</v>
      </c>
      <c r="K22" s="129"/>
      <c r="L22" s="129"/>
      <c r="M22" s="129">
        <f>(L$20-K$20)/4</f>
        <v>35.225000000000023</v>
      </c>
      <c r="N22" s="129">
        <f t="shared" si="1"/>
        <v>742.625</v>
      </c>
      <c r="O22" s="129"/>
      <c r="P22" s="129"/>
      <c r="Q22" s="129">
        <v>0</v>
      </c>
      <c r="R22" s="129"/>
      <c r="S22" s="2"/>
      <c r="V22" s="131" t="s">
        <v>169</v>
      </c>
      <c r="W22" s="130" t="s">
        <v>240</v>
      </c>
      <c r="X22" s="129">
        <f t="shared" si="2"/>
        <v>1253.4750000000001</v>
      </c>
      <c r="Y22" s="129"/>
      <c r="Z22" s="129"/>
      <c r="AA22" s="119">
        <f>100.3/4</f>
        <v>25.074999999999999</v>
      </c>
      <c r="AB22" s="129"/>
      <c r="AC22" s="129"/>
      <c r="AD22" s="129">
        <f t="shared" si="6"/>
        <v>1278.5500000000002</v>
      </c>
      <c r="AE22" s="129"/>
      <c r="AF22" s="119">
        <v>125.7</v>
      </c>
      <c r="AG22" s="129"/>
      <c r="AH22" s="129"/>
      <c r="AI22" s="129"/>
      <c r="AJ22" s="136">
        <v>-41.9</v>
      </c>
      <c r="AK22" s="119">
        <f t="shared" si="3"/>
        <v>83.800000000000011</v>
      </c>
      <c r="AL22" s="129"/>
      <c r="AM22" s="129"/>
      <c r="AN22" s="119">
        <v>0</v>
      </c>
      <c r="AO22" s="129"/>
      <c r="AP22" s="131" t="s">
        <v>169</v>
      </c>
      <c r="AQ22" s="130" t="s">
        <v>240</v>
      </c>
      <c r="AR22" s="119">
        <v>-239.6</v>
      </c>
      <c r="AS22" s="129"/>
      <c r="AT22" s="119"/>
      <c r="AU22" s="136">
        <f>(AS$20-AT$20)/4</f>
        <v>-30.774999999999977</v>
      </c>
      <c r="AV22" s="129">
        <f t="shared" si="4"/>
        <v>-208.82500000000002</v>
      </c>
      <c r="AW22" s="129"/>
      <c r="AX22" s="129"/>
      <c r="AY22" s="129">
        <f t="shared" si="5"/>
        <v>1153.5250000000001</v>
      </c>
      <c r="AZ22" s="129"/>
      <c r="BA22" s="143"/>
    </row>
    <row r="23" spans="1:53">
      <c r="A23" s="144"/>
      <c r="B23" s="130" t="s">
        <v>239</v>
      </c>
      <c r="C23" s="119">
        <v>2018.7</v>
      </c>
      <c r="D23" s="119">
        <f>SUM(C23:C26)</f>
        <v>7301.7000000000007</v>
      </c>
      <c r="E23" s="129"/>
      <c r="F23" s="133">
        <f>(E$20-D$20)/4</f>
        <v>2.2000000000000455</v>
      </c>
      <c r="G23" s="133">
        <f t="shared" si="0"/>
        <v>2020.9</v>
      </c>
      <c r="H23" s="129">
        <f>SUM(G23:G26)</f>
        <v>7303.0749999999998</v>
      </c>
      <c r="I23" s="129"/>
      <c r="J23" s="119">
        <v>711.8</v>
      </c>
      <c r="K23" s="119">
        <f>SUM(J23:J26)</f>
        <v>2624.7</v>
      </c>
      <c r="L23" s="129"/>
      <c r="M23" s="129">
        <f>(L$20-K$20)/4</f>
        <v>35.225000000000023</v>
      </c>
      <c r="N23" s="129">
        <f t="shared" si="1"/>
        <v>747.02499999999998</v>
      </c>
      <c r="O23" s="129">
        <f>SUM(N23:N26)</f>
        <v>2690.6</v>
      </c>
      <c r="P23" s="129"/>
      <c r="Q23" s="129">
        <v>0</v>
      </c>
      <c r="R23" s="129">
        <f>SUM(Q23:Q26)</f>
        <v>0</v>
      </c>
      <c r="S23" s="2"/>
      <c r="V23" s="144"/>
      <c r="W23" s="130" t="s">
        <v>239</v>
      </c>
      <c r="X23" s="129">
        <f t="shared" si="2"/>
        <v>1273.875</v>
      </c>
      <c r="Y23" s="129">
        <f>SUM(X23:X26)</f>
        <v>4612.4749999999995</v>
      </c>
      <c r="Z23" s="129"/>
      <c r="AA23" s="119">
        <f>100.3/4</f>
        <v>25.074999999999999</v>
      </c>
      <c r="AB23" s="129">
        <f>SUM(AA23:AA26)</f>
        <v>369.25</v>
      </c>
      <c r="AC23" s="129"/>
      <c r="AD23" s="129">
        <f t="shared" si="6"/>
        <v>1298.95</v>
      </c>
      <c r="AE23" s="129">
        <f>Y23+AB23</f>
        <v>4981.7249999999995</v>
      </c>
      <c r="AF23" s="119">
        <v>66.2</v>
      </c>
      <c r="AG23" s="129">
        <f>SUM(AF23:AF26)</f>
        <v>300.70000000000005</v>
      </c>
      <c r="AH23" s="129"/>
      <c r="AI23" s="129"/>
      <c r="AJ23" s="136">
        <v>-41.9</v>
      </c>
      <c r="AK23" s="119">
        <f t="shared" si="3"/>
        <v>24.300000000000004</v>
      </c>
      <c r="AL23" s="129">
        <f>SUM(AK23:AK26)</f>
        <v>105.27500000000003</v>
      </c>
      <c r="AM23" s="129"/>
      <c r="AN23" s="119">
        <v>473.3</v>
      </c>
      <c r="AO23" s="129">
        <f>SUM(AN23:AN26)</f>
        <v>813.7</v>
      </c>
      <c r="AP23" s="144"/>
      <c r="AQ23" s="130" t="s">
        <v>239</v>
      </c>
      <c r="AR23" s="119">
        <v>-271</v>
      </c>
      <c r="AS23" s="129">
        <f>SUM(AR23:AR26)</f>
        <v>-448.69999999999993</v>
      </c>
      <c r="AT23" s="119"/>
      <c r="AU23" s="136">
        <f>(AS$20-AT$20)/4</f>
        <v>-30.774999999999977</v>
      </c>
      <c r="AV23" s="129">
        <f t="shared" si="4"/>
        <v>-240.22500000000002</v>
      </c>
      <c r="AW23" s="129">
        <f>SUM(AV23:AV26)</f>
        <v>-434.125</v>
      </c>
      <c r="AX23" s="129"/>
      <c r="AY23" s="129">
        <f t="shared" si="5"/>
        <v>1556.3249999999998</v>
      </c>
      <c r="AZ23" s="129">
        <f>SUM(AY23:AY26)</f>
        <v>5466.5749999999989</v>
      </c>
    </row>
    <row r="24" spans="1:53">
      <c r="A24" s="131" t="s">
        <v>238</v>
      </c>
      <c r="B24" s="130" t="s">
        <v>237</v>
      </c>
      <c r="C24" s="119">
        <v>1825.1</v>
      </c>
      <c r="D24" s="119">
        <f>SUM(C24:C27)</f>
        <v>6856.1</v>
      </c>
      <c r="E24" s="129">
        <v>6855</v>
      </c>
      <c r="F24" s="133">
        <f>(E$24-D$24)/4</f>
        <v>-0.27500000000009095</v>
      </c>
      <c r="G24" s="133">
        <f t="shared" si="0"/>
        <v>1824.8249999999998</v>
      </c>
      <c r="H24" s="119">
        <f>SUM(G24:G27)</f>
        <v>6854.9999999999991</v>
      </c>
      <c r="I24" s="129"/>
      <c r="J24" s="119">
        <v>696.3</v>
      </c>
      <c r="K24" s="119">
        <f>SUM(J24:J27)</f>
        <v>2541.6</v>
      </c>
      <c r="L24" s="129">
        <v>2582.5</v>
      </c>
      <c r="M24" s="129">
        <f>(L$24-K$24)/4</f>
        <v>10.225000000000023</v>
      </c>
      <c r="N24" s="129">
        <f t="shared" si="1"/>
        <v>706.52499999999998</v>
      </c>
      <c r="O24" s="119">
        <f>SUM(N24:N27)</f>
        <v>2582.5</v>
      </c>
      <c r="P24" s="119"/>
      <c r="Q24" s="129">
        <v>0</v>
      </c>
      <c r="R24" s="129">
        <f>SUM(Q24:Q27)</f>
        <v>0</v>
      </c>
      <c r="S24" s="2"/>
      <c r="V24" s="131" t="s">
        <v>238</v>
      </c>
      <c r="W24" s="130" t="s">
        <v>237</v>
      </c>
      <c r="X24" s="129">
        <f t="shared" si="2"/>
        <v>1118.2999999999997</v>
      </c>
      <c r="Y24" s="129">
        <f>SUM(X24:X27)</f>
        <v>4272.4999999999991</v>
      </c>
      <c r="Z24" s="129"/>
      <c r="AA24" s="119">
        <f>458.9/4</f>
        <v>114.72499999999999</v>
      </c>
      <c r="AB24" s="129">
        <f>SUM(AA24:AA27)</f>
        <v>458.9</v>
      </c>
      <c r="AC24" s="129"/>
      <c r="AD24" s="129">
        <f t="shared" si="6"/>
        <v>1233.0249999999996</v>
      </c>
      <c r="AE24" s="129">
        <f>Y24+AB24</f>
        <v>4731.3999999999987</v>
      </c>
      <c r="AF24" s="119">
        <v>31</v>
      </c>
      <c r="AG24" s="119">
        <f>SUM(AF24:AF27)</f>
        <v>344.5</v>
      </c>
      <c r="AH24" s="129">
        <v>139.80000000000001</v>
      </c>
      <c r="AI24" s="129"/>
      <c r="AJ24" s="136">
        <f>(AH$24-AG$24)/4</f>
        <v>-51.174999999999997</v>
      </c>
      <c r="AK24" s="119">
        <f t="shared" si="3"/>
        <v>-20.174999999999997</v>
      </c>
      <c r="AL24" s="129">
        <f>SUM(AK24:AK27)</f>
        <v>139.80000000000001</v>
      </c>
      <c r="AM24" s="129"/>
      <c r="AN24" s="119">
        <v>340.4</v>
      </c>
      <c r="AO24" s="129">
        <f>SUM(AN24:AN27)</f>
        <v>340.4</v>
      </c>
      <c r="AP24" s="131" t="s">
        <v>238</v>
      </c>
      <c r="AQ24" s="130" t="s">
        <v>237</v>
      </c>
      <c r="AR24" s="119">
        <v>-302.39999999999998</v>
      </c>
      <c r="AS24" s="119">
        <f>SUM(AR24:AR27)</f>
        <v>131</v>
      </c>
      <c r="AT24" s="119">
        <v>109.4</v>
      </c>
      <c r="AU24" s="136">
        <f>(AS$24-AT$24)/4</f>
        <v>5.3999999999999986</v>
      </c>
      <c r="AV24" s="129">
        <f t="shared" si="4"/>
        <v>-307.79999999999995</v>
      </c>
      <c r="AW24" s="119">
        <f>SUM(AV24:AV27)</f>
        <v>109.40000000000003</v>
      </c>
      <c r="AX24" s="119"/>
      <c r="AY24" s="129">
        <f t="shared" si="5"/>
        <v>1245.4499999999996</v>
      </c>
      <c r="AZ24" s="119">
        <f>SUM(AY24:AY27)</f>
        <v>5320.9999999999991</v>
      </c>
      <c r="BA24" s="143"/>
    </row>
    <row r="25" spans="1:53">
      <c r="A25" s="131" t="s">
        <v>169</v>
      </c>
      <c r="B25" s="130" t="s">
        <v>236</v>
      </c>
      <c r="C25" s="119">
        <v>1759</v>
      </c>
      <c r="D25" s="119"/>
      <c r="E25" s="129"/>
      <c r="F25" s="133">
        <f>(E$24-D$24)/4</f>
        <v>-0.27500000000009095</v>
      </c>
      <c r="G25" s="133">
        <f t="shared" si="0"/>
        <v>1758.7249999999999</v>
      </c>
      <c r="H25" s="129"/>
      <c r="I25" s="129"/>
      <c r="J25" s="119">
        <v>634.29999999999995</v>
      </c>
      <c r="K25" s="129"/>
      <c r="L25" s="129"/>
      <c r="M25" s="129">
        <f>(L$24-K$24)/4</f>
        <v>10.225000000000023</v>
      </c>
      <c r="N25" s="129">
        <f t="shared" si="1"/>
        <v>644.52499999999998</v>
      </c>
      <c r="O25" s="129"/>
      <c r="P25" s="129"/>
      <c r="Q25" s="129">
        <v>0</v>
      </c>
      <c r="R25" s="129"/>
      <c r="S25" s="2"/>
      <c r="V25" s="131" t="s">
        <v>169</v>
      </c>
      <c r="W25" s="130" t="s">
        <v>236</v>
      </c>
      <c r="X25" s="129">
        <f t="shared" si="2"/>
        <v>1114.1999999999998</v>
      </c>
      <c r="Y25" s="129"/>
      <c r="Z25" s="129"/>
      <c r="AA25" s="119">
        <f>458.9/4</f>
        <v>114.72499999999999</v>
      </c>
      <c r="AB25" s="129"/>
      <c r="AC25" s="129"/>
      <c r="AD25" s="129">
        <f t="shared" si="6"/>
        <v>1228.9249999999997</v>
      </c>
      <c r="AE25" s="129"/>
      <c r="AF25" s="119">
        <v>55.2</v>
      </c>
      <c r="AG25" s="129"/>
      <c r="AH25" s="129"/>
      <c r="AI25" s="129"/>
      <c r="AJ25" s="136">
        <f>(AH$24-AG$24)/4</f>
        <v>-51.174999999999997</v>
      </c>
      <c r="AK25" s="119">
        <f t="shared" si="3"/>
        <v>4.0250000000000057</v>
      </c>
      <c r="AL25" s="129"/>
      <c r="AM25" s="129"/>
      <c r="AN25" s="119">
        <v>0</v>
      </c>
      <c r="AO25" s="129"/>
      <c r="AP25" s="131" t="s">
        <v>169</v>
      </c>
      <c r="AQ25" s="130" t="s">
        <v>236</v>
      </c>
      <c r="AR25" s="119">
        <v>77.099999999999994</v>
      </c>
      <c r="AS25" s="129"/>
      <c r="AT25" s="119"/>
      <c r="AU25" s="136">
        <f>(AS$24-AT$24)/4</f>
        <v>5.3999999999999986</v>
      </c>
      <c r="AV25" s="129">
        <f t="shared" si="4"/>
        <v>71.699999999999989</v>
      </c>
      <c r="AW25" s="129"/>
      <c r="AX25" s="129"/>
      <c r="AY25" s="129">
        <f t="shared" si="5"/>
        <v>1304.6499999999999</v>
      </c>
      <c r="AZ25" s="129"/>
      <c r="BA25" s="143"/>
    </row>
    <row r="26" spans="1:53">
      <c r="A26" s="131" t="s">
        <v>169</v>
      </c>
      <c r="B26" s="130" t="s">
        <v>235</v>
      </c>
      <c r="C26" s="119">
        <v>1698.9</v>
      </c>
      <c r="D26" s="119"/>
      <c r="E26" s="129"/>
      <c r="F26" s="133">
        <f>(E$24-D$24)/4</f>
        <v>-0.27500000000009095</v>
      </c>
      <c r="G26" s="133">
        <f t="shared" si="0"/>
        <v>1698.625</v>
      </c>
      <c r="H26" s="129"/>
      <c r="I26" s="129"/>
      <c r="J26" s="119">
        <v>582.29999999999995</v>
      </c>
      <c r="K26" s="129"/>
      <c r="L26" s="129"/>
      <c r="M26" s="129">
        <f>(L$24-K$24)/4</f>
        <v>10.225000000000023</v>
      </c>
      <c r="N26" s="129">
        <f t="shared" si="1"/>
        <v>592.52499999999998</v>
      </c>
      <c r="O26" s="129"/>
      <c r="P26" s="129"/>
      <c r="Q26" s="129">
        <v>0</v>
      </c>
      <c r="R26" s="129"/>
      <c r="S26" s="2"/>
      <c r="V26" s="131" t="s">
        <v>169</v>
      </c>
      <c r="W26" s="130" t="s">
        <v>235</v>
      </c>
      <c r="X26" s="129">
        <f t="shared" si="2"/>
        <v>1106.0999999999999</v>
      </c>
      <c r="Y26" s="129"/>
      <c r="Z26" s="129"/>
      <c r="AA26" s="119">
        <f>458.9/4</f>
        <v>114.72499999999999</v>
      </c>
      <c r="AB26" s="129"/>
      <c r="AC26" s="129"/>
      <c r="AD26" s="129">
        <f t="shared" si="6"/>
        <v>1220.8249999999998</v>
      </c>
      <c r="AE26" s="129"/>
      <c r="AF26" s="119">
        <v>148.30000000000001</v>
      </c>
      <c r="AG26" s="129"/>
      <c r="AH26" s="129"/>
      <c r="AI26" s="129"/>
      <c r="AJ26" s="136">
        <f>(AH$24-AG$24)/4</f>
        <v>-51.174999999999997</v>
      </c>
      <c r="AK26" s="119">
        <f t="shared" si="3"/>
        <v>97.125000000000014</v>
      </c>
      <c r="AL26" s="129"/>
      <c r="AM26" s="129"/>
      <c r="AN26" s="119">
        <v>0</v>
      </c>
      <c r="AO26" s="129"/>
      <c r="AP26" s="131" t="s">
        <v>169</v>
      </c>
      <c r="AQ26" s="130" t="s">
        <v>235</v>
      </c>
      <c r="AR26" s="119">
        <v>47.6</v>
      </c>
      <c r="AS26" s="129"/>
      <c r="AT26" s="119"/>
      <c r="AU26" s="136">
        <f>(AS$24-AT$24)/4</f>
        <v>5.3999999999999986</v>
      </c>
      <c r="AV26" s="129">
        <f t="shared" si="4"/>
        <v>42.2</v>
      </c>
      <c r="AW26" s="129"/>
      <c r="AX26" s="129"/>
      <c r="AY26" s="129">
        <f t="shared" si="5"/>
        <v>1360.1499999999999</v>
      </c>
      <c r="AZ26" s="129"/>
      <c r="BA26" s="143"/>
    </row>
    <row r="27" spans="1:53">
      <c r="A27" s="131" t="s">
        <v>169</v>
      </c>
      <c r="B27" s="130" t="s">
        <v>234</v>
      </c>
      <c r="C27" s="119">
        <v>1573.1</v>
      </c>
      <c r="D27" s="119">
        <f>SUM(C27:C30)</f>
        <v>6866.2999999999993</v>
      </c>
      <c r="E27" s="129"/>
      <c r="F27" s="133">
        <f>(E$24-D$24)/4</f>
        <v>-0.27500000000009095</v>
      </c>
      <c r="G27" s="133">
        <f t="shared" si="0"/>
        <v>1572.8249999999998</v>
      </c>
      <c r="H27" s="129">
        <f>SUM(G27:G30)</f>
        <v>6865.65</v>
      </c>
      <c r="I27" s="129"/>
      <c r="J27" s="119">
        <v>628.70000000000005</v>
      </c>
      <c r="K27" s="119">
        <f>SUM(J27:J30)</f>
        <v>2537.9</v>
      </c>
      <c r="L27" s="129"/>
      <c r="M27" s="129">
        <f>(L$24-K$24)/4</f>
        <v>10.225000000000023</v>
      </c>
      <c r="N27" s="129">
        <f t="shared" si="1"/>
        <v>638.92500000000007</v>
      </c>
      <c r="O27" s="129">
        <f>SUM(N27:N30)</f>
        <v>2614.125</v>
      </c>
      <c r="P27" s="129"/>
      <c r="Q27" s="129">
        <v>0</v>
      </c>
      <c r="R27" s="129">
        <f>SUM(Q27:Q30)</f>
        <v>0</v>
      </c>
      <c r="S27" s="2"/>
      <c r="V27" s="131" t="s">
        <v>169</v>
      </c>
      <c r="W27" s="130" t="s">
        <v>234</v>
      </c>
      <c r="X27" s="129">
        <f t="shared" si="2"/>
        <v>933.89999999999975</v>
      </c>
      <c r="Y27" s="129">
        <f>SUM(X27:X30)</f>
        <v>4251.5249999999996</v>
      </c>
      <c r="Z27" s="129"/>
      <c r="AA27" s="119">
        <f>458.9/4</f>
        <v>114.72499999999999</v>
      </c>
      <c r="AB27" s="129">
        <f>SUM(AA27:AA30)</f>
        <v>684.5</v>
      </c>
      <c r="AC27" s="129"/>
      <c r="AD27" s="129">
        <f t="shared" si="6"/>
        <v>1048.6249999999998</v>
      </c>
      <c r="AE27" s="129">
        <f>Y27+AB27</f>
        <v>4936.0249999999996</v>
      </c>
      <c r="AF27" s="119">
        <v>110</v>
      </c>
      <c r="AG27" s="129">
        <f>SUM(AF27:AF30)</f>
        <v>486</v>
      </c>
      <c r="AH27" s="129"/>
      <c r="AI27" s="129"/>
      <c r="AJ27" s="136">
        <f>(AH$24-AG$24)/4</f>
        <v>-51.174999999999997</v>
      </c>
      <c r="AK27" s="119">
        <f t="shared" si="3"/>
        <v>58.825000000000003</v>
      </c>
      <c r="AL27" s="129">
        <f>SUM(AK27:AK30)</f>
        <v>398.9</v>
      </c>
      <c r="AM27" s="129"/>
      <c r="AN27" s="119">
        <v>0</v>
      </c>
      <c r="AO27" s="129">
        <f>SUM(AN27:AN30)</f>
        <v>0</v>
      </c>
      <c r="AP27" s="131" t="s">
        <v>169</v>
      </c>
      <c r="AQ27" s="130" t="s">
        <v>234</v>
      </c>
      <c r="AR27" s="119">
        <v>308.7</v>
      </c>
      <c r="AS27" s="129">
        <f>SUM(AR27:AR30)</f>
        <v>1042.3999999999999</v>
      </c>
      <c r="AT27" s="119"/>
      <c r="AU27" s="136">
        <f>(AS$24-AT$24)/4</f>
        <v>5.3999999999999986</v>
      </c>
      <c r="AV27" s="129">
        <f t="shared" si="4"/>
        <v>303.3</v>
      </c>
      <c r="AW27" s="129">
        <f>SUM(AV27:AV30)</f>
        <v>1065.125</v>
      </c>
      <c r="AX27" s="129"/>
      <c r="AY27" s="129">
        <f t="shared" si="5"/>
        <v>1410.7499999999998</v>
      </c>
      <c r="AZ27" s="129">
        <f>SUM(AY27:AY30)</f>
        <v>6400.0499999999984</v>
      </c>
    </row>
    <row r="28" spans="1:53">
      <c r="A28" s="131" t="s">
        <v>233</v>
      </c>
      <c r="B28" s="130" t="s">
        <v>232</v>
      </c>
      <c r="C28" s="119">
        <v>1455.3</v>
      </c>
      <c r="D28" s="119">
        <f>SUM(C28:C31)</f>
        <v>7173.7</v>
      </c>
      <c r="E28" s="129">
        <v>7173.2</v>
      </c>
      <c r="F28" s="133">
        <f>(E$28-D$28)/4</f>
        <v>-0.125</v>
      </c>
      <c r="G28" s="133">
        <f t="shared" si="0"/>
        <v>1455.175</v>
      </c>
      <c r="H28" s="119">
        <f>SUM(G28:G31)</f>
        <v>7173.2</v>
      </c>
      <c r="I28" s="129"/>
      <c r="J28" s="119">
        <v>511</v>
      </c>
      <c r="K28" s="119">
        <f>SUM(J28:J31)</f>
        <v>2532.5</v>
      </c>
      <c r="L28" s="129">
        <v>2620.5</v>
      </c>
      <c r="M28" s="129">
        <f>(L$28-K$28)/4</f>
        <v>22</v>
      </c>
      <c r="N28" s="129">
        <f t="shared" si="1"/>
        <v>533</v>
      </c>
      <c r="O28" s="119">
        <f>SUM(N28:N31)</f>
        <v>2620.5</v>
      </c>
      <c r="P28" s="119"/>
      <c r="Q28" s="129">
        <v>0</v>
      </c>
      <c r="R28" s="129">
        <f>SUM(Q28:Q31)</f>
        <v>0</v>
      </c>
      <c r="S28" s="2"/>
      <c r="V28" s="131" t="s">
        <v>233</v>
      </c>
      <c r="W28" s="130" t="s">
        <v>232</v>
      </c>
      <c r="X28" s="129">
        <f t="shared" si="2"/>
        <v>922.17499999999995</v>
      </c>
      <c r="Y28" s="129">
        <f>SUM(X28:X31)</f>
        <v>4552.7</v>
      </c>
      <c r="Z28" s="129"/>
      <c r="AA28" s="119">
        <f>759.7/4</f>
        <v>189.92500000000001</v>
      </c>
      <c r="AB28" s="129">
        <f>SUM(AA28:AA31)</f>
        <v>759.7</v>
      </c>
      <c r="AC28" s="129"/>
      <c r="AD28" s="129">
        <f t="shared" si="6"/>
        <v>1112.0999999999999</v>
      </c>
      <c r="AE28" s="129">
        <f>Y28+AB28</f>
        <v>5312.4</v>
      </c>
      <c r="AF28" s="119">
        <v>103</v>
      </c>
      <c r="AG28" s="119">
        <f>SUM(AF28:AF31)</f>
        <v>443.8</v>
      </c>
      <c r="AH28" s="129">
        <v>395.9</v>
      </c>
      <c r="AI28" s="129"/>
      <c r="AJ28" s="136">
        <f>(AH$28-AG$28)/4</f>
        <v>-11.975000000000009</v>
      </c>
      <c r="AK28" s="119">
        <f t="shared" si="3"/>
        <v>91.024999999999991</v>
      </c>
      <c r="AL28" s="129">
        <f>SUM(AK28:AK31)</f>
        <v>395.9</v>
      </c>
      <c r="AM28" s="129"/>
      <c r="AN28" s="119">
        <v>0</v>
      </c>
      <c r="AO28" s="129">
        <f>SUM(AN28:AN31)</f>
        <v>329.4</v>
      </c>
      <c r="AP28" s="131" t="s">
        <v>233</v>
      </c>
      <c r="AQ28" s="130" t="s">
        <v>232</v>
      </c>
      <c r="AR28" s="119">
        <v>353.1</v>
      </c>
      <c r="AS28" s="119">
        <f>SUM(AR28:AR31)</f>
        <v>486.20000000000005</v>
      </c>
      <c r="AT28" s="119">
        <v>523.70000000000005</v>
      </c>
      <c r="AU28" s="136">
        <f>(AS$28-AT$28)/4</f>
        <v>-9.375</v>
      </c>
      <c r="AV28" s="129">
        <f t="shared" si="4"/>
        <v>362.47500000000002</v>
      </c>
      <c r="AW28" s="119">
        <f>SUM(AV28:AV31)</f>
        <v>523.70000000000005</v>
      </c>
      <c r="AX28" s="119"/>
      <c r="AY28" s="129">
        <f t="shared" si="5"/>
        <v>1565.6</v>
      </c>
      <c r="AZ28" s="134">
        <f>SUM(AY28:AY31)</f>
        <v>6561.4</v>
      </c>
      <c r="BA28" s="143"/>
    </row>
    <row r="29" spans="1:53">
      <c r="A29" s="131" t="s">
        <v>169</v>
      </c>
      <c r="B29" s="130" t="s">
        <v>231</v>
      </c>
      <c r="C29" s="119">
        <v>1904.3</v>
      </c>
      <c r="D29" s="119"/>
      <c r="E29" s="129"/>
      <c r="F29" s="133">
        <f>(E$28-D$28)/4</f>
        <v>-0.125</v>
      </c>
      <c r="G29" s="133">
        <f t="shared" si="0"/>
        <v>1904.175</v>
      </c>
      <c r="H29" s="129"/>
      <c r="I29" s="129"/>
      <c r="J29" s="119">
        <v>771.3</v>
      </c>
      <c r="K29" s="129"/>
      <c r="L29" s="129"/>
      <c r="M29" s="129">
        <f>(L$28-K$28)/4</f>
        <v>22</v>
      </c>
      <c r="N29" s="129">
        <f t="shared" si="1"/>
        <v>793.3</v>
      </c>
      <c r="O29" s="129"/>
      <c r="P29" s="129"/>
      <c r="Q29" s="129">
        <v>0</v>
      </c>
      <c r="R29" s="129"/>
      <c r="S29" s="2"/>
      <c r="V29" s="131" t="s">
        <v>169</v>
      </c>
      <c r="W29" s="130" t="s">
        <v>231</v>
      </c>
      <c r="X29" s="129">
        <f t="shared" si="2"/>
        <v>1110.875</v>
      </c>
      <c r="Y29" s="129"/>
      <c r="Z29" s="129"/>
      <c r="AA29" s="119">
        <f>759.7/4</f>
        <v>189.92500000000001</v>
      </c>
      <c r="AB29" s="129"/>
      <c r="AC29" s="129"/>
      <c r="AD29" s="129">
        <f t="shared" si="6"/>
        <v>1300.8</v>
      </c>
      <c r="AE29" s="129"/>
      <c r="AF29" s="119">
        <v>131.1</v>
      </c>
      <c r="AG29" s="129"/>
      <c r="AH29" s="129"/>
      <c r="AI29" s="129"/>
      <c r="AJ29" s="136">
        <f>(AH$28-AG$28)/4</f>
        <v>-11.975000000000009</v>
      </c>
      <c r="AK29" s="119">
        <f t="shared" si="3"/>
        <v>119.12499999999999</v>
      </c>
      <c r="AL29" s="129"/>
      <c r="AM29" s="129"/>
      <c r="AN29" s="119">
        <v>0</v>
      </c>
      <c r="AO29" s="129"/>
      <c r="AP29" s="131" t="s">
        <v>169</v>
      </c>
      <c r="AQ29" s="130" t="s">
        <v>231</v>
      </c>
      <c r="AR29" s="119">
        <v>260.3</v>
      </c>
      <c r="AS29" s="129"/>
      <c r="AT29" s="119"/>
      <c r="AU29" s="136">
        <f>(AS$28-AT$28)/4</f>
        <v>-9.375</v>
      </c>
      <c r="AV29" s="129">
        <f t="shared" si="4"/>
        <v>269.67500000000001</v>
      </c>
      <c r="AW29" s="129"/>
      <c r="AX29" s="129"/>
      <c r="AY29" s="129">
        <f t="shared" si="5"/>
        <v>1689.6</v>
      </c>
      <c r="AZ29" s="129"/>
      <c r="BA29" s="143"/>
    </row>
    <row r="30" spans="1:53">
      <c r="A30" s="131" t="s">
        <v>169</v>
      </c>
      <c r="B30" s="130" t="s">
        <v>230</v>
      </c>
      <c r="C30" s="119">
        <v>1933.6</v>
      </c>
      <c r="D30" s="119"/>
      <c r="E30" s="129"/>
      <c r="F30" s="133">
        <f>(E$28-D$28)/4</f>
        <v>-0.125</v>
      </c>
      <c r="G30" s="133">
        <f t="shared" si="0"/>
        <v>1933.4749999999999</v>
      </c>
      <c r="H30" s="129"/>
      <c r="I30" s="129"/>
      <c r="J30" s="119">
        <v>626.9</v>
      </c>
      <c r="K30" s="129"/>
      <c r="L30" s="129"/>
      <c r="M30" s="129">
        <f>(L$28-K$28)/4</f>
        <v>22</v>
      </c>
      <c r="N30" s="129">
        <f t="shared" si="1"/>
        <v>648.9</v>
      </c>
      <c r="O30" s="129"/>
      <c r="P30" s="129"/>
      <c r="Q30" s="129">
        <v>0</v>
      </c>
      <c r="R30" s="129"/>
      <c r="S30" s="2"/>
      <c r="V30" s="131" t="s">
        <v>169</v>
      </c>
      <c r="W30" s="130" t="s">
        <v>230</v>
      </c>
      <c r="X30" s="129">
        <f t="shared" si="2"/>
        <v>1284.5749999999998</v>
      </c>
      <c r="Y30" s="129"/>
      <c r="Z30" s="129"/>
      <c r="AA30" s="119">
        <f>759.7/4</f>
        <v>189.92500000000001</v>
      </c>
      <c r="AB30" s="129"/>
      <c r="AC30" s="129"/>
      <c r="AD30" s="129">
        <f t="shared" si="6"/>
        <v>1474.4999999999998</v>
      </c>
      <c r="AE30" s="129"/>
      <c r="AF30" s="119">
        <v>141.9</v>
      </c>
      <c r="AG30" s="129"/>
      <c r="AH30" s="129"/>
      <c r="AI30" s="129"/>
      <c r="AJ30" s="136">
        <f>(AH$28-AG$28)/4</f>
        <v>-11.975000000000009</v>
      </c>
      <c r="AK30" s="119">
        <f t="shared" si="3"/>
        <v>129.92500000000001</v>
      </c>
      <c r="AL30" s="129"/>
      <c r="AM30" s="129"/>
      <c r="AN30" s="119">
        <v>0</v>
      </c>
      <c r="AO30" s="129"/>
      <c r="AP30" s="131" t="s">
        <v>169</v>
      </c>
      <c r="AQ30" s="130" t="s">
        <v>230</v>
      </c>
      <c r="AR30" s="119">
        <v>120.3</v>
      </c>
      <c r="AS30" s="129"/>
      <c r="AT30" s="119"/>
      <c r="AU30" s="136">
        <f>(AS$28-AT$28)/4</f>
        <v>-9.375</v>
      </c>
      <c r="AV30" s="129">
        <f t="shared" si="4"/>
        <v>129.67500000000001</v>
      </c>
      <c r="AW30" s="129"/>
      <c r="AX30" s="129"/>
      <c r="AY30" s="129">
        <f t="shared" si="5"/>
        <v>1734.0999999999997</v>
      </c>
      <c r="AZ30" s="129"/>
      <c r="BA30" s="143"/>
    </row>
    <row r="31" spans="1:53">
      <c r="A31" s="144"/>
      <c r="B31" s="130" t="s">
        <v>229</v>
      </c>
      <c r="C31" s="119">
        <v>1880.5</v>
      </c>
      <c r="D31" s="119">
        <f>SUM(C31:C34)</f>
        <v>8217.9</v>
      </c>
      <c r="E31" s="129"/>
      <c r="F31" s="133">
        <f>(E$28-D$28)/4</f>
        <v>-0.125</v>
      </c>
      <c r="G31" s="133">
        <f t="shared" si="0"/>
        <v>1880.375</v>
      </c>
      <c r="H31" s="129">
        <f>SUM(G31:G34)</f>
        <v>8216.4249999999993</v>
      </c>
      <c r="I31" s="129"/>
      <c r="J31" s="119">
        <v>623.29999999999995</v>
      </c>
      <c r="K31" s="119">
        <f>SUM(J31:J34)</f>
        <v>2823.4</v>
      </c>
      <c r="L31" s="129"/>
      <c r="M31" s="129">
        <f>(L$28-K$28)/4</f>
        <v>22</v>
      </c>
      <c r="N31" s="129">
        <f t="shared" si="1"/>
        <v>645.29999999999995</v>
      </c>
      <c r="O31" s="129">
        <f>SUM(N31:N34)</f>
        <v>2845.4</v>
      </c>
      <c r="P31" s="129"/>
      <c r="Q31" s="129">
        <v>0</v>
      </c>
      <c r="R31" s="129">
        <f>SUM(Q31:Q34)</f>
        <v>0</v>
      </c>
      <c r="S31" s="2"/>
      <c r="V31" s="144"/>
      <c r="W31" s="130" t="s">
        <v>229</v>
      </c>
      <c r="X31" s="129">
        <f t="shared" si="2"/>
        <v>1235.075</v>
      </c>
      <c r="Y31" s="129">
        <f>SUM(X31:X34)</f>
        <v>5371.0249999999996</v>
      </c>
      <c r="Z31" s="129"/>
      <c r="AA31" s="119">
        <f>759.7/4</f>
        <v>189.92500000000001</v>
      </c>
      <c r="AB31" s="129">
        <f>SUM(AA31:AA34)</f>
        <v>849.92499999999995</v>
      </c>
      <c r="AC31" s="129"/>
      <c r="AD31" s="129">
        <f t="shared" si="6"/>
        <v>1425</v>
      </c>
      <c r="AE31" s="129">
        <f>Y31+AB31</f>
        <v>6220.95</v>
      </c>
      <c r="AF31" s="119">
        <v>67.8</v>
      </c>
      <c r="AG31" s="129">
        <f>SUM(AF31:AF34)</f>
        <v>374.2</v>
      </c>
      <c r="AH31" s="129"/>
      <c r="AI31" s="129"/>
      <c r="AJ31" s="136">
        <f>(AH$28-AG$28)/4</f>
        <v>-11.975000000000009</v>
      </c>
      <c r="AK31" s="119">
        <f t="shared" si="3"/>
        <v>55.824999999999989</v>
      </c>
      <c r="AL31" s="129">
        <f>SUM(AK31:AK34)</f>
        <v>344.75</v>
      </c>
      <c r="AM31" s="129"/>
      <c r="AN31" s="119">
        <v>329.4</v>
      </c>
      <c r="AO31" s="129">
        <f>SUM(AN31:AN34)</f>
        <v>430.8</v>
      </c>
      <c r="AP31" s="144"/>
      <c r="AQ31" s="130" t="s">
        <v>229</v>
      </c>
      <c r="AR31" s="119">
        <v>-247.5</v>
      </c>
      <c r="AS31" s="129">
        <f>SUM(AR31:AR34)</f>
        <v>39.5</v>
      </c>
      <c r="AT31" s="119"/>
      <c r="AU31" s="136">
        <f>(AS$28-AT$28)/4</f>
        <v>-9.375</v>
      </c>
      <c r="AV31" s="129">
        <f t="shared" si="4"/>
        <v>-238.125</v>
      </c>
      <c r="AW31" s="129">
        <f>SUM(AV31:AV34)</f>
        <v>48.199999999999932</v>
      </c>
      <c r="AX31" s="129"/>
      <c r="AY31" s="129">
        <f t="shared" si="5"/>
        <v>1572.1</v>
      </c>
      <c r="AZ31" s="129">
        <f>SUM(AY31:AY34)</f>
        <v>7044.7000000000007</v>
      </c>
    </row>
    <row r="32" spans="1:53">
      <c r="A32" s="131" t="s">
        <v>228</v>
      </c>
      <c r="B32" s="130" t="s">
        <v>227</v>
      </c>
      <c r="C32" s="119">
        <v>1925.8</v>
      </c>
      <c r="D32" s="119">
        <f>SUM(C32:C35)</f>
        <v>8490.4</v>
      </c>
      <c r="E32" s="129">
        <v>8488.6</v>
      </c>
      <c r="F32" s="133">
        <f>(E$32-D$32)/4</f>
        <v>-0.4499999999998181</v>
      </c>
      <c r="G32" s="133">
        <f t="shared" si="0"/>
        <v>1925.3500000000001</v>
      </c>
      <c r="H32" s="119">
        <f>SUM(G32:G35)</f>
        <v>8488.6</v>
      </c>
      <c r="I32" s="129"/>
      <c r="J32" s="119">
        <v>593.6</v>
      </c>
      <c r="K32" s="119">
        <f>SUM(J32:J35)</f>
        <v>3011.8</v>
      </c>
      <c r="L32" s="129">
        <v>3011.8</v>
      </c>
      <c r="M32" s="129">
        <f>(L$32-K$32)/4</f>
        <v>0</v>
      </c>
      <c r="N32" s="129">
        <f t="shared" si="1"/>
        <v>593.6</v>
      </c>
      <c r="O32" s="119">
        <f>SUM(N32:N35)</f>
        <v>3011.8</v>
      </c>
      <c r="P32" s="119"/>
      <c r="Q32" s="129">
        <v>0</v>
      </c>
      <c r="R32" s="129">
        <f>SUM(Q32:Q35)</f>
        <v>0</v>
      </c>
      <c r="S32" s="2"/>
      <c r="V32" s="131" t="s">
        <v>228</v>
      </c>
      <c r="W32" s="130" t="s">
        <v>227</v>
      </c>
      <c r="X32" s="129">
        <f t="shared" si="2"/>
        <v>1331.75</v>
      </c>
      <c r="Y32" s="129">
        <f>SUM(X32:X35)</f>
        <v>5476.8</v>
      </c>
      <c r="Z32" s="129"/>
      <c r="AA32" s="119">
        <v>220</v>
      </c>
      <c r="AB32" s="129">
        <f>SUM(AA32:AA35)</f>
        <v>880</v>
      </c>
      <c r="AC32" s="129"/>
      <c r="AD32" s="129">
        <f t="shared" si="6"/>
        <v>1551.75</v>
      </c>
      <c r="AE32" s="129">
        <f>Y32+AB32</f>
        <v>6356.8</v>
      </c>
      <c r="AF32" s="119">
        <v>83.9</v>
      </c>
      <c r="AG32" s="119">
        <f>SUM(AF32:AF35)</f>
        <v>467.09999999999997</v>
      </c>
      <c r="AH32" s="129">
        <v>443.8</v>
      </c>
      <c r="AI32" s="129"/>
      <c r="AJ32" s="136">
        <f>(AH$32-AG$32)/4</f>
        <v>-5.8249999999999886</v>
      </c>
      <c r="AK32" s="119">
        <f t="shared" si="3"/>
        <v>78.075000000000017</v>
      </c>
      <c r="AL32" s="129">
        <f>SUM(AK32:AK35)</f>
        <v>443.80000000000007</v>
      </c>
      <c r="AM32" s="129"/>
      <c r="AN32" s="119">
        <v>85.1</v>
      </c>
      <c r="AO32" s="129">
        <f>SUM(AN32:AN35)</f>
        <v>123.1</v>
      </c>
      <c r="AP32" s="131" t="s">
        <v>228</v>
      </c>
      <c r="AQ32" s="130" t="s">
        <v>227</v>
      </c>
      <c r="AR32" s="119">
        <v>31.3</v>
      </c>
      <c r="AS32" s="119">
        <f>SUM(AR32:AR35)</f>
        <v>231.1</v>
      </c>
      <c r="AT32" s="119">
        <v>230.2</v>
      </c>
      <c r="AU32" s="136">
        <f>(AS$32-AT$32)/4</f>
        <v>0.22500000000000142</v>
      </c>
      <c r="AV32" s="129">
        <f t="shared" si="4"/>
        <v>31.074999999999999</v>
      </c>
      <c r="AW32" s="119">
        <f>SUM(AV32:AV35)</f>
        <v>230.19999999999993</v>
      </c>
      <c r="AX32" s="119"/>
      <c r="AY32" s="129">
        <f t="shared" si="5"/>
        <v>1746</v>
      </c>
      <c r="AZ32" s="134">
        <f>SUM(AY32:AY35)</f>
        <v>7153.9000000000005</v>
      </c>
      <c r="BA32" s="143"/>
    </row>
    <row r="33" spans="1:53">
      <c r="A33" s="131" t="s">
        <v>169</v>
      </c>
      <c r="B33" s="130" t="s">
        <v>226</v>
      </c>
      <c r="C33" s="119">
        <v>2189.6</v>
      </c>
      <c r="D33" s="119"/>
      <c r="E33" s="129"/>
      <c r="F33" s="133">
        <f>(E$32-D$32)/4</f>
        <v>-0.4499999999998181</v>
      </c>
      <c r="G33" s="133">
        <f t="shared" si="0"/>
        <v>2189.15</v>
      </c>
      <c r="H33" s="129"/>
      <c r="I33" s="129"/>
      <c r="J33" s="119">
        <v>765.2</v>
      </c>
      <c r="K33" s="129"/>
      <c r="L33" s="129"/>
      <c r="M33" s="129">
        <f>(L$32-K$32)/4</f>
        <v>0</v>
      </c>
      <c r="N33" s="129">
        <f t="shared" si="1"/>
        <v>765.2</v>
      </c>
      <c r="O33" s="129"/>
      <c r="P33" s="129"/>
      <c r="Q33" s="129">
        <v>0</v>
      </c>
      <c r="R33" s="129"/>
      <c r="S33" s="2"/>
      <c r="V33" s="131" t="s">
        <v>169</v>
      </c>
      <c r="W33" s="130" t="s">
        <v>226</v>
      </c>
      <c r="X33" s="129">
        <f t="shared" si="2"/>
        <v>1423.95</v>
      </c>
      <c r="Y33" s="129"/>
      <c r="Z33" s="129"/>
      <c r="AA33" s="119">
        <v>220</v>
      </c>
      <c r="AB33" s="129"/>
      <c r="AC33" s="129"/>
      <c r="AD33" s="129">
        <f t="shared" si="6"/>
        <v>1643.95</v>
      </c>
      <c r="AE33" s="129"/>
      <c r="AF33" s="119">
        <v>124</v>
      </c>
      <c r="AG33" s="129"/>
      <c r="AH33" s="129"/>
      <c r="AI33" s="129"/>
      <c r="AJ33" s="136">
        <f>(AH$32-AG$32)/4</f>
        <v>-5.8249999999999886</v>
      </c>
      <c r="AK33" s="119">
        <f t="shared" si="3"/>
        <v>118.17500000000001</v>
      </c>
      <c r="AL33" s="129"/>
      <c r="AM33" s="129"/>
      <c r="AN33" s="119">
        <v>16.3</v>
      </c>
      <c r="AO33" s="129"/>
      <c r="AP33" s="131" t="s">
        <v>169</v>
      </c>
      <c r="AQ33" s="130" t="s">
        <v>226</v>
      </c>
      <c r="AR33" s="119">
        <v>-64.2</v>
      </c>
      <c r="AS33" s="129"/>
      <c r="AT33" s="119"/>
      <c r="AU33" s="136">
        <f>(AS$32-AT$32)/4</f>
        <v>0.22500000000000142</v>
      </c>
      <c r="AV33" s="129">
        <f t="shared" si="4"/>
        <v>-64.425000000000011</v>
      </c>
      <c r="AW33" s="129"/>
      <c r="AX33" s="129"/>
      <c r="AY33" s="129">
        <f t="shared" si="5"/>
        <v>1714</v>
      </c>
      <c r="AZ33" s="129"/>
      <c r="BA33" s="143"/>
    </row>
    <row r="34" spans="1:53">
      <c r="A34" s="131" t="s">
        <v>169</v>
      </c>
      <c r="B34" s="130" t="s">
        <v>225</v>
      </c>
      <c r="C34" s="119">
        <v>2222</v>
      </c>
      <c r="D34" s="119"/>
      <c r="E34" s="129"/>
      <c r="F34" s="133">
        <f>(E$32-D$32)/4</f>
        <v>-0.4499999999998181</v>
      </c>
      <c r="G34" s="133">
        <f t="shared" si="0"/>
        <v>2221.5500000000002</v>
      </c>
      <c r="H34" s="129"/>
      <c r="I34" s="129"/>
      <c r="J34" s="119">
        <v>841.3</v>
      </c>
      <c r="K34" s="129"/>
      <c r="L34" s="129"/>
      <c r="M34" s="129">
        <f>(L$32-K$32)/4</f>
        <v>0</v>
      </c>
      <c r="N34" s="129">
        <f t="shared" si="1"/>
        <v>841.3</v>
      </c>
      <c r="O34" s="129"/>
      <c r="P34" s="129"/>
      <c r="Q34" s="129">
        <v>0</v>
      </c>
      <c r="R34" s="129"/>
      <c r="S34" s="2"/>
      <c r="V34" s="131" t="s">
        <v>169</v>
      </c>
      <c r="W34" s="130" t="s">
        <v>225</v>
      </c>
      <c r="X34" s="129">
        <f t="shared" si="2"/>
        <v>1380.2500000000002</v>
      </c>
      <c r="Y34" s="129"/>
      <c r="Z34" s="129"/>
      <c r="AA34" s="119">
        <v>220</v>
      </c>
      <c r="AB34" s="129"/>
      <c r="AC34" s="129"/>
      <c r="AD34" s="129">
        <f t="shared" si="6"/>
        <v>1600.2500000000002</v>
      </c>
      <c r="AE34" s="129"/>
      <c r="AF34" s="119">
        <v>98.5</v>
      </c>
      <c r="AG34" s="129"/>
      <c r="AH34" s="129"/>
      <c r="AI34" s="129"/>
      <c r="AJ34" s="136">
        <f>(AH$32-AG$32)/4</f>
        <v>-5.8249999999999886</v>
      </c>
      <c r="AK34" s="119">
        <f t="shared" si="3"/>
        <v>92.675000000000011</v>
      </c>
      <c r="AL34" s="129"/>
      <c r="AM34" s="129"/>
      <c r="AN34" s="119">
        <v>0</v>
      </c>
      <c r="AO34" s="129"/>
      <c r="AP34" s="131" t="s">
        <v>169</v>
      </c>
      <c r="AQ34" s="130" t="s">
        <v>225</v>
      </c>
      <c r="AR34" s="119">
        <v>319.89999999999998</v>
      </c>
      <c r="AS34" s="129"/>
      <c r="AT34" s="119"/>
      <c r="AU34" s="136">
        <f>(AS$32-AT$32)/4</f>
        <v>0.22500000000000142</v>
      </c>
      <c r="AV34" s="129">
        <f t="shared" si="4"/>
        <v>319.67499999999995</v>
      </c>
      <c r="AW34" s="129"/>
      <c r="AX34" s="129"/>
      <c r="AY34" s="129">
        <f t="shared" si="5"/>
        <v>2012.6000000000001</v>
      </c>
      <c r="AZ34" s="129"/>
      <c r="BA34" s="143"/>
    </row>
    <row r="35" spans="1:53">
      <c r="A35" s="144"/>
      <c r="B35" s="130" t="s">
        <v>224</v>
      </c>
      <c r="C35" s="119">
        <v>2153</v>
      </c>
      <c r="D35" s="119">
        <f>SUM(C35:C38)</f>
        <v>8964.5</v>
      </c>
      <c r="E35" s="129"/>
      <c r="F35" s="133">
        <f>(E$32-D$32)/4</f>
        <v>-0.4499999999998181</v>
      </c>
      <c r="G35" s="133">
        <f t="shared" si="0"/>
        <v>2152.5500000000002</v>
      </c>
      <c r="H35" s="129">
        <f>SUM(G35:G38)</f>
        <v>8963</v>
      </c>
      <c r="I35" s="129"/>
      <c r="J35" s="119">
        <v>811.7</v>
      </c>
      <c r="K35" s="119">
        <f>SUM(J35:J38)</f>
        <v>3400.8</v>
      </c>
      <c r="L35" s="129"/>
      <c r="M35" s="129">
        <f>(L$32-K$32)/4</f>
        <v>0</v>
      </c>
      <c r="N35" s="129">
        <f t="shared" si="1"/>
        <v>811.7</v>
      </c>
      <c r="O35" s="129">
        <f>SUM(N35:N38)</f>
        <v>3400.7999999999997</v>
      </c>
      <c r="P35" s="129"/>
      <c r="Q35" s="129">
        <v>0</v>
      </c>
      <c r="R35" s="129">
        <f>SUM(Q35:Q38)</f>
        <v>0</v>
      </c>
      <c r="S35" s="2"/>
      <c r="V35" s="144"/>
      <c r="W35" s="130" t="s">
        <v>224</v>
      </c>
      <c r="X35" s="129">
        <f t="shared" si="2"/>
        <v>1340.8500000000001</v>
      </c>
      <c r="Y35" s="129">
        <f>SUM(X35:X38)</f>
        <v>5562.2000000000007</v>
      </c>
      <c r="Z35" s="129"/>
      <c r="AA35" s="119">
        <v>220</v>
      </c>
      <c r="AB35" s="129">
        <f>SUM(AA35:AA38)</f>
        <v>938.5</v>
      </c>
      <c r="AC35" s="129"/>
      <c r="AD35" s="129">
        <f t="shared" si="6"/>
        <v>1560.8500000000001</v>
      </c>
      <c r="AE35" s="129">
        <f>Y35+AB35</f>
        <v>6500.7000000000007</v>
      </c>
      <c r="AF35" s="119">
        <v>160.69999999999999</v>
      </c>
      <c r="AG35" s="129">
        <f>SUM(AF35:AF38)</f>
        <v>563.6</v>
      </c>
      <c r="AH35" s="129"/>
      <c r="AI35" s="129"/>
      <c r="AJ35" s="136">
        <f>(AH$32-AG$32)/4</f>
        <v>-5.8249999999999886</v>
      </c>
      <c r="AK35" s="119">
        <f t="shared" si="3"/>
        <v>154.875</v>
      </c>
      <c r="AL35" s="129">
        <f>SUM(AK35:AK38)</f>
        <v>515.77499999999998</v>
      </c>
      <c r="AM35" s="129"/>
      <c r="AN35" s="119">
        <v>21.7</v>
      </c>
      <c r="AO35" s="129">
        <f>SUM(AN35:AN38)</f>
        <v>21.7</v>
      </c>
      <c r="AP35" s="144"/>
      <c r="AQ35" s="130" t="s">
        <v>224</v>
      </c>
      <c r="AR35" s="119">
        <v>-55.9</v>
      </c>
      <c r="AS35" s="129">
        <f>SUM(AR35:AR38)</f>
        <v>379</v>
      </c>
      <c r="AT35" s="119"/>
      <c r="AU35" s="136">
        <f>(AS$32-AT$32)/4</f>
        <v>0.22500000000000142</v>
      </c>
      <c r="AV35" s="129">
        <f t="shared" si="4"/>
        <v>-56.125</v>
      </c>
      <c r="AW35" s="129">
        <f>SUM(AV35:AV38)</f>
        <v>378.24999999999994</v>
      </c>
      <c r="AX35" s="129"/>
      <c r="AY35" s="129">
        <f t="shared" si="5"/>
        <v>1681.3000000000002</v>
      </c>
      <c r="AZ35" s="129">
        <f>SUM(AY35:AY38)</f>
        <v>7416.4250000000002</v>
      </c>
    </row>
    <row r="36" spans="1:53">
      <c r="A36" s="131" t="s">
        <v>223</v>
      </c>
      <c r="B36" s="130" t="s">
        <v>222</v>
      </c>
      <c r="C36" s="119">
        <v>2087.6</v>
      </c>
      <c r="D36" s="119">
        <f>SUM(C36:C39)</f>
        <v>9024.1999999999989</v>
      </c>
      <c r="E36" s="129">
        <v>9022.7999999999993</v>
      </c>
      <c r="F36" s="133">
        <f>(E$36-D$36)/4</f>
        <v>-0.34999999999990905</v>
      </c>
      <c r="G36" s="133">
        <f t="shared" si="0"/>
        <v>2087.25</v>
      </c>
      <c r="H36" s="119">
        <f>SUM(G36:G39)</f>
        <v>9022.8000000000011</v>
      </c>
      <c r="I36" s="129"/>
      <c r="J36" s="119">
        <v>751.9</v>
      </c>
      <c r="K36" s="119">
        <f>SUM(J36:J39)</f>
        <v>3412.5000000000005</v>
      </c>
      <c r="L36" s="129">
        <v>3412.5</v>
      </c>
      <c r="M36" s="129">
        <f>(L$36-K$36)/4</f>
        <v>-1.1368683772161603E-13</v>
      </c>
      <c r="N36" s="129">
        <f t="shared" si="1"/>
        <v>751.89999999999986</v>
      </c>
      <c r="O36" s="119">
        <f>SUM(N36:N39)</f>
        <v>3412.4999999999991</v>
      </c>
      <c r="P36" s="119"/>
      <c r="Q36" s="129">
        <v>0</v>
      </c>
      <c r="R36" s="129">
        <f>SUM(Q36:Q39)</f>
        <v>0</v>
      </c>
      <c r="S36" s="2"/>
      <c r="V36" s="131" t="s">
        <v>223</v>
      </c>
      <c r="W36" s="130" t="s">
        <v>222</v>
      </c>
      <c r="X36" s="129">
        <f t="shared" si="2"/>
        <v>1335.3500000000001</v>
      </c>
      <c r="Y36" s="129">
        <f>SUM(X36:X39)</f>
        <v>5610.3</v>
      </c>
      <c r="Z36" s="129"/>
      <c r="AA36" s="119">
        <v>239.5</v>
      </c>
      <c r="AB36" s="129">
        <f>SUM(AA36:AA39)</f>
        <v>958</v>
      </c>
      <c r="AC36" s="129"/>
      <c r="AD36" s="129">
        <f t="shared" si="6"/>
        <v>1574.8500000000001</v>
      </c>
      <c r="AE36" s="129">
        <f>Y36+AB36</f>
        <v>6568.3</v>
      </c>
      <c r="AF36" s="119">
        <v>154.5</v>
      </c>
      <c r="AG36" s="119">
        <f>SUM(AF36:AF39)</f>
        <v>625.70000000000005</v>
      </c>
      <c r="AH36" s="129">
        <v>569.70000000000005</v>
      </c>
      <c r="AI36" s="129"/>
      <c r="AJ36" s="136">
        <f>(AH$36-AG$36)/4</f>
        <v>-14</v>
      </c>
      <c r="AK36" s="119">
        <f t="shared" si="3"/>
        <v>140.5</v>
      </c>
      <c r="AL36" s="129">
        <f>SUM(AK36:AK39)</f>
        <v>569.70000000000005</v>
      </c>
      <c r="AM36" s="129"/>
      <c r="AN36" s="119">
        <v>0</v>
      </c>
      <c r="AO36" s="129">
        <f>SUM(AN36:AN39)</f>
        <v>100.5</v>
      </c>
      <c r="AP36" s="131" t="s">
        <v>223</v>
      </c>
      <c r="AQ36" s="130" t="s">
        <v>222</v>
      </c>
      <c r="AR36" s="119">
        <v>37</v>
      </c>
      <c r="AS36" s="119">
        <f>SUM(AR36:AR39)</f>
        <v>1137.3</v>
      </c>
      <c r="AT36" s="119">
        <v>1136.5999999999999</v>
      </c>
      <c r="AU36" s="136">
        <f>(AS$36-AT$36)/4</f>
        <v>0.17500000000001137</v>
      </c>
      <c r="AV36" s="129">
        <f t="shared" si="4"/>
        <v>36.824999999999989</v>
      </c>
      <c r="AW36" s="119">
        <f>SUM(AV36:AV39)</f>
        <v>1136.5999999999999</v>
      </c>
      <c r="AX36" s="119"/>
      <c r="AY36" s="129">
        <f t="shared" si="5"/>
        <v>1752.1750000000002</v>
      </c>
      <c r="AZ36" s="134">
        <f>SUM(AY36:AY39)</f>
        <v>8375.1</v>
      </c>
      <c r="BA36" s="143"/>
    </row>
    <row r="37" spans="1:53">
      <c r="A37" s="131" t="s">
        <v>169</v>
      </c>
      <c r="B37" s="130" t="s">
        <v>221</v>
      </c>
      <c r="C37" s="119">
        <v>2409.6999999999998</v>
      </c>
      <c r="D37" s="119"/>
      <c r="E37" s="129"/>
      <c r="F37" s="133">
        <f>(E$36-D$36)/4</f>
        <v>-0.34999999999990905</v>
      </c>
      <c r="G37" s="133">
        <f t="shared" si="0"/>
        <v>2409.35</v>
      </c>
      <c r="H37" s="129"/>
      <c r="I37" s="129"/>
      <c r="J37" s="119">
        <v>922</v>
      </c>
      <c r="K37" s="129"/>
      <c r="L37" s="129"/>
      <c r="M37" s="129">
        <f>(L$36-K$36)/4</f>
        <v>-1.1368683772161603E-13</v>
      </c>
      <c r="N37" s="129">
        <f t="shared" si="1"/>
        <v>921.99999999999989</v>
      </c>
      <c r="O37" s="129"/>
      <c r="P37" s="129"/>
      <c r="Q37" s="129">
        <v>0</v>
      </c>
      <c r="R37" s="129"/>
      <c r="S37" s="2"/>
      <c r="V37" s="131" t="s">
        <v>169</v>
      </c>
      <c r="W37" s="130" t="s">
        <v>221</v>
      </c>
      <c r="X37" s="129">
        <f t="shared" si="2"/>
        <v>1487.35</v>
      </c>
      <c r="Y37" s="129"/>
      <c r="Z37" s="129"/>
      <c r="AA37" s="119">
        <v>239.5</v>
      </c>
      <c r="AB37" s="129"/>
      <c r="AC37" s="129"/>
      <c r="AD37" s="129">
        <f t="shared" si="6"/>
        <v>1726.85</v>
      </c>
      <c r="AE37" s="129"/>
      <c r="AF37" s="119">
        <v>159.9</v>
      </c>
      <c r="AG37" s="129"/>
      <c r="AH37" s="129"/>
      <c r="AI37" s="129"/>
      <c r="AJ37" s="136">
        <f>(AH$36-AG$36)/4</f>
        <v>-14</v>
      </c>
      <c r="AK37" s="119">
        <f t="shared" si="3"/>
        <v>145.9</v>
      </c>
      <c r="AL37" s="129"/>
      <c r="AM37" s="129"/>
      <c r="AN37" s="119">
        <v>0</v>
      </c>
      <c r="AO37" s="129"/>
      <c r="AP37" s="131" t="s">
        <v>169</v>
      </c>
      <c r="AQ37" s="130" t="s">
        <v>221</v>
      </c>
      <c r="AR37" s="119">
        <v>-80.3</v>
      </c>
      <c r="AS37" s="129"/>
      <c r="AT37" s="119"/>
      <c r="AU37" s="136">
        <f>(AS$36-AT$36)/4</f>
        <v>0.17500000000001137</v>
      </c>
      <c r="AV37" s="129">
        <f t="shared" si="4"/>
        <v>-80.475000000000009</v>
      </c>
      <c r="AW37" s="129"/>
      <c r="AX37" s="129"/>
      <c r="AY37" s="129">
        <f t="shared" si="5"/>
        <v>1792.2750000000001</v>
      </c>
      <c r="AZ37" s="129"/>
      <c r="BA37" s="143"/>
    </row>
    <row r="38" spans="1:53">
      <c r="A38" s="131" t="s">
        <v>169</v>
      </c>
      <c r="B38" s="130" t="s">
        <v>220</v>
      </c>
      <c r="C38" s="119">
        <v>2314.1999999999998</v>
      </c>
      <c r="D38" s="119"/>
      <c r="E38" s="129"/>
      <c r="F38" s="133">
        <f>(E$36-D$36)/4</f>
        <v>-0.34999999999990905</v>
      </c>
      <c r="G38" s="133">
        <f t="shared" si="0"/>
        <v>2313.85</v>
      </c>
      <c r="H38" s="129"/>
      <c r="I38" s="129"/>
      <c r="J38" s="119">
        <v>915.2</v>
      </c>
      <c r="K38" s="129"/>
      <c r="L38" s="129"/>
      <c r="M38" s="129">
        <f>(L$36-K$36)/4</f>
        <v>-1.1368683772161603E-13</v>
      </c>
      <c r="N38" s="129">
        <f t="shared" si="1"/>
        <v>915.19999999999993</v>
      </c>
      <c r="O38" s="129"/>
      <c r="P38" s="129"/>
      <c r="Q38" s="129">
        <v>0</v>
      </c>
      <c r="R38" s="129"/>
      <c r="S38" s="2"/>
      <c r="V38" s="131" t="s">
        <v>169</v>
      </c>
      <c r="W38" s="130" t="s">
        <v>220</v>
      </c>
      <c r="X38" s="129">
        <f t="shared" si="2"/>
        <v>1398.65</v>
      </c>
      <c r="Y38" s="129"/>
      <c r="Z38" s="129"/>
      <c r="AA38" s="119">
        <v>239.5</v>
      </c>
      <c r="AB38" s="129"/>
      <c r="AC38" s="129"/>
      <c r="AD38" s="129">
        <f t="shared" si="6"/>
        <v>1638.15</v>
      </c>
      <c r="AE38" s="129"/>
      <c r="AF38" s="119">
        <v>88.5</v>
      </c>
      <c r="AG38" s="129"/>
      <c r="AH38" s="129"/>
      <c r="AI38" s="129"/>
      <c r="AJ38" s="136">
        <f>(AH$36-AG$36)/4</f>
        <v>-14</v>
      </c>
      <c r="AK38" s="119">
        <f t="shared" si="3"/>
        <v>74.5</v>
      </c>
      <c r="AL38" s="129"/>
      <c r="AM38" s="129"/>
      <c r="AN38" s="119">
        <v>0</v>
      </c>
      <c r="AO38" s="129"/>
      <c r="AP38" s="131" t="s">
        <v>169</v>
      </c>
      <c r="AQ38" s="130" t="s">
        <v>220</v>
      </c>
      <c r="AR38" s="119">
        <v>478.2</v>
      </c>
      <c r="AS38" s="129"/>
      <c r="AT38" s="119"/>
      <c r="AU38" s="136">
        <f>(AS$36-AT$36)/4</f>
        <v>0.17500000000001137</v>
      </c>
      <c r="AV38" s="129">
        <f t="shared" si="4"/>
        <v>478.02499999999998</v>
      </c>
      <c r="AW38" s="129"/>
      <c r="AX38" s="129"/>
      <c r="AY38" s="129">
        <f t="shared" si="5"/>
        <v>2190.6750000000002</v>
      </c>
      <c r="AZ38" s="129"/>
      <c r="BA38" s="143"/>
    </row>
    <row r="39" spans="1:53">
      <c r="A39" s="131" t="s">
        <v>169</v>
      </c>
      <c r="B39" s="130" t="s">
        <v>219</v>
      </c>
      <c r="C39" s="119">
        <v>2212.6999999999998</v>
      </c>
      <c r="D39" s="119">
        <f>SUM(C39:C42)</f>
        <v>9004</v>
      </c>
      <c r="E39" s="129"/>
      <c r="F39" s="133">
        <f>(E$36-D$36)/4</f>
        <v>-0.34999999999990905</v>
      </c>
      <c r="G39" s="133">
        <f t="shared" si="0"/>
        <v>2212.35</v>
      </c>
      <c r="H39" s="129">
        <f>SUM(G39:G42)</f>
        <v>9002.15</v>
      </c>
      <c r="I39" s="129"/>
      <c r="J39" s="119">
        <v>823.4</v>
      </c>
      <c r="K39" s="119">
        <f>SUM(J39:J42)</f>
        <v>3271.6</v>
      </c>
      <c r="L39" s="129"/>
      <c r="M39" s="129">
        <f>(L$36-K$36)/4</f>
        <v>-1.1368683772161603E-13</v>
      </c>
      <c r="N39" s="129">
        <f t="shared" si="1"/>
        <v>823.39999999999986</v>
      </c>
      <c r="O39" s="129">
        <f>SUM(N39:N42)</f>
        <v>3271.6000000000004</v>
      </c>
      <c r="P39" s="129"/>
      <c r="Q39" s="129">
        <v>0</v>
      </c>
      <c r="R39" s="129">
        <f>SUM(Q39:Q42)</f>
        <v>0</v>
      </c>
      <c r="S39" s="2"/>
      <c r="V39" s="131" t="s">
        <v>169</v>
      </c>
      <c r="W39" s="130" t="s">
        <v>219</v>
      </c>
      <c r="X39" s="129">
        <f t="shared" si="2"/>
        <v>1388.95</v>
      </c>
      <c r="Y39" s="129">
        <f>SUM(X39:X42)</f>
        <v>5730.55</v>
      </c>
      <c r="Z39" s="129"/>
      <c r="AA39" s="119">
        <v>239.5</v>
      </c>
      <c r="AB39" s="129">
        <f>SUM(AA39:AA42)</f>
        <v>598.6</v>
      </c>
      <c r="AC39" s="129"/>
      <c r="AD39" s="129">
        <f t="shared" si="6"/>
        <v>1628.45</v>
      </c>
      <c r="AE39" s="129">
        <f>Y39+AB39</f>
        <v>6329.1500000000005</v>
      </c>
      <c r="AF39" s="119">
        <v>222.8</v>
      </c>
      <c r="AG39" s="129">
        <f>SUM(AF39:AF42)</f>
        <v>691.1</v>
      </c>
      <c r="AH39" s="129"/>
      <c r="AI39" s="129"/>
      <c r="AJ39" s="136">
        <f>(AH$36-AG$36)/4</f>
        <v>-14</v>
      </c>
      <c r="AK39" s="119">
        <f t="shared" si="3"/>
        <v>208.8</v>
      </c>
      <c r="AL39" s="129">
        <f>SUM(AK39:AK42)</f>
        <v>651.07500000000005</v>
      </c>
      <c r="AM39" s="129"/>
      <c r="AN39" s="119">
        <v>100.5</v>
      </c>
      <c r="AO39" s="129">
        <f>SUM(AN39:AN42)</f>
        <v>360</v>
      </c>
      <c r="AP39" s="131" t="s">
        <v>169</v>
      </c>
      <c r="AQ39" s="130" t="s">
        <v>219</v>
      </c>
      <c r="AR39" s="119">
        <v>702.4</v>
      </c>
      <c r="AS39" s="129">
        <f>SUM(AR39:AR42)</f>
        <v>894.19999999999993</v>
      </c>
      <c r="AT39" s="119"/>
      <c r="AU39" s="136">
        <f>(AS$36-AT$36)/4</f>
        <v>0.17500000000001137</v>
      </c>
      <c r="AV39" s="129">
        <f t="shared" si="4"/>
        <v>702.22499999999991</v>
      </c>
      <c r="AW39" s="129">
        <f>SUM(AV39:AV42)</f>
        <v>893.125</v>
      </c>
      <c r="AX39" s="129"/>
      <c r="AY39" s="129">
        <f t="shared" si="5"/>
        <v>2639.9749999999999</v>
      </c>
      <c r="AZ39" s="129">
        <f>SUM(AY39:AY42)</f>
        <v>8233.35</v>
      </c>
    </row>
    <row r="40" spans="1:53">
      <c r="A40" s="131" t="s">
        <v>218</v>
      </c>
      <c r="B40" s="130" t="s">
        <v>217</v>
      </c>
      <c r="C40" s="119">
        <v>2136.6</v>
      </c>
      <c r="D40" s="119">
        <f>SUM(C40:C43)</f>
        <v>9171.7999999999993</v>
      </c>
      <c r="E40" s="129">
        <v>9169.7999999999993</v>
      </c>
      <c r="F40" s="133">
        <f>(E$40-D$40)/4</f>
        <v>-0.5</v>
      </c>
      <c r="G40" s="133">
        <f t="shared" si="0"/>
        <v>2136.1</v>
      </c>
      <c r="H40" s="119">
        <f>SUM(G40:G43)</f>
        <v>9169.7999999999993</v>
      </c>
      <c r="I40" s="129"/>
      <c r="J40" s="119">
        <v>744.3</v>
      </c>
      <c r="K40" s="119">
        <f>SUM(J40:J43)</f>
        <v>3292.8999999999996</v>
      </c>
      <c r="L40" s="129">
        <v>3292.9</v>
      </c>
      <c r="M40" s="129">
        <f>(L$40-K$40)/4</f>
        <v>1.1368683772161603E-13</v>
      </c>
      <c r="N40" s="129">
        <f t="shared" si="1"/>
        <v>744.30000000000007</v>
      </c>
      <c r="O40" s="119">
        <f>SUM(N40:N43)</f>
        <v>3292.9000000000005</v>
      </c>
      <c r="P40" s="119"/>
      <c r="Q40" s="129">
        <v>0</v>
      </c>
      <c r="R40" s="129">
        <f>SUM(Q40:Q43)</f>
        <v>0</v>
      </c>
      <c r="S40" s="2"/>
      <c r="V40" s="131" t="s">
        <v>218</v>
      </c>
      <c r="W40" s="130" t="s">
        <v>217</v>
      </c>
      <c r="X40" s="129">
        <f t="shared" si="2"/>
        <v>1391.7999999999997</v>
      </c>
      <c r="Y40" s="129">
        <f>SUM(X40:X43)</f>
        <v>5876.9</v>
      </c>
      <c r="Z40" s="129"/>
      <c r="AA40" s="119">
        <v>119.7</v>
      </c>
      <c r="AB40" s="129">
        <f>SUM(AA40:AA43)</f>
        <v>863.8</v>
      </c>
      <c r="AC40" s="129"/>
      <c r="AD40" s="129">
        <f t="shared" si="6"/>
        <v>1511.4999999999998</v>
      </c>
      <c r="AE40" s="129">
        <f>Y40+AB40</f>
        <v>6740.7</v>
      </c>
      <c r="AF40" s="119">
        <v>200.2</v>
      </c>
      <c r="AG40" s="119">
        <f>SUM(AF40:AF43)</f>
        <v>660.4</v>
      </c>
      <c r="AH40" s="129">
        <v>625.70000000000005</v>
      </c>
      <c r="AI40" s="129"/>
      <c r="AJ40" s="136">
        <f>(AH$40-AG$40)/4</f>
        <v>-8.6749999999999829</v>
      </c>
      <c r="AK40" s="119">
        <f t="shared" si="3"/>
        <v>191.52500000000001</v>
      </c>
      <c r="AL40" s="129">
        <f>SUM(AK40:AK43)</f>
        <v>625.70000000000005</v>
      </c>
      <c r="AM40" s="129"/>
      <c r="AN40" s="119">
        <v>97.6</v>
      </c>
      <c r="AO40" s="129">
        <f>SUM(AN40:AN43)</f>
        <v>364</v>
      </c>
      <c r="AP40" s="131" t="s">
        <v>218</v>
      </c>
      <c r="AQ40" s="130" t="s">
        <v>217</v>
      </c>
      <c r="AR40" s="119">
        <v>-105.6</v>
      </c>
      <c r="AS40" s="119">
        <f>SUM(AR40:AR43)</f>
        <v>312.7</v>
      </c>
      <c r="AT40" s="119">
        <v>311.5</v>
      </c>
      <c r="AU40" s="136">
        <f>(AS$40-AT$40)/4</f>
        <v>0.29999999999999716</v>
      </c>
      <c r="AV40" s="129">
        <f t="shared" si="4"/>
        <v>-105.89999999999999</v>
      </c>
      <c r="AW40" s="119">
        <f>SUM(AV40:AV43)</f>
        <v>311.5</v>
      </c>
      <c r="AX40" s="119"/>
      <c r="AY40" s="129">
        <f t="shared" si="5"/>
        <v>1694.7249999999997</v>
      </c>
      <c r="AZ40" s="119">
        <f>SUM(AY40:AY43)</f>
        <v>8041.9</v>
      </c>
      <c r="BA40" s="143"/>
    </row>
    <row r="41" spans="1:53">
      <c r="A41" s="131" t="s">
        <v>169</v>
      </c>
      <c r="B41" s="130" t="s">
        <v>216</v>
      </c>
      <c r="C41" s="119">
        <v>2408.8000000000002</v>
      </c>
      <c r="D41" s="119"/>
      <c r="E41" s="129"/>
      <c r="F41" s="133">
        <f>(E$40-D$40)/4</f>
        <v>-0.5</v>
      </c>
      <c r="G41" s="133">
        <f t="shared" si="0"/>
        <v>2408.3000000000002</v>
      </c>
      <c r="H41" s="129"/>
      <c r="I41" s="129"/>
      <c r="J41" s="119">
        <v>860.3</v>
      </c>
      <c r="K41" s="129"/>
      <c r="L41" s="129"/>
      <c r="M41" s="129">
        <f>(L$40-K$40)/4</f>
        <v>1.1368683772161603E-13</v>
      </c>
      <c r="N41" s="129">
        <f t="shared" si="1"/>
        <v>860.30000000000007</v>
      </c>
      <c r="O41" s="129"/>
      <c r="P41" s="129"/>
      <c r="Q41" s="129">
        <v>0</v>
      </c>
      <c r="R41" s="129"/>
      <c r="S41" s="2"/>
      <c r="V41" s="131" t="s">
        <v>169</v>
      </c>
      <c r="W41" s="130" t="s">
        <v>216</v>
      </c>
      <c r="X41" s="129">
        <f t="shared" si="2"/>
        <v>1548</v>
      </c>
      <c r="Y41" s="129"/>
      <c r="Z41" s="129"/>
      <c r="AA41" s="119">
        <v>119.7</v>
      </c>
      <c r="AB41" s="129"/>
      <c r="AC41" s="129"/>
      <c r="AD41" s="129">
        <f t="shared" si="6"/>
        <v>1667.7</v>
      </c>
      <c r="AE41" s="129"/>
      <c r="AF41" s="119">
        <v>145.5</v>
      </c>
      <c r="AG41" s="129"/>
      <c r="AH41" s="129"/>
      <c r="AI41" s="129"/>
      <c r="AJ41" s="136">
        <f>(AH$40-AG$40)/4</f>
        <v>-8.6749999999999829</v>
      </c>
      <c r="AK41" s="119">
        <f t="shared" si="3"/>
        <v>136.82500000000002</v>
      </c>
      <c r="AL41" s="129"/>
      <c r="AM41" s="129"/>
      <c r="AN41" s="119">
        <v>161.9</v>
      </c>
      <c r="AO41" s="129"/>
      <c r="AP41" s="131" t="s">
        <v>169</v>
      </c>
      <c r="AQ41" s="130" t="s">
        <v>216</v>
      </c>
      <c r="AR41" s="119">
        <v>-83</v>
      </c>
      <c r="AS41" s="129"/>
      <c r="AT41" s="119"/>
      <c r="AU41" s="136">
        <f>(AS$40-AT$40)/4</f>
        <v>0.29999999999999716</v>
      </c>
      <c r="AV41" s="129">
        <f t="shared" si="4"/>
        <v>-83.3</v>
      </c>
      <c r="AW41" s="129"/>
      <c r="AX41" s="129"/>
      <c r="AY41" s="129">
        <f t="shared" si="5"/>
        <v>1883.1250000000002</v>
      </c>
      <c r="AZ41" s="129"/>
      <c r="BA41" s="143"/>
    </row>
    <row r="42" spans="1:53">
      <c r="A42" s="131" t="s">
        <v>169</v>
      </c>
      <c r="B42" s="130" t="s">
        <v>215</v>
      </c>
      <c r="C42" s="119">
        <v>2245.9</v>
      </c>
      <c r="D42" s="119"/>
      <c r="E42" s="129"/>
      <c r="F42" s="133">
        <f>(E$40-D$40)/4</f>
        <v>-0.5</v>
      </c>
      <c r="G42" s="133">
        <f t="shared" si="0"/>
        <v>2245.4</v>
      </c>
      <c r="H42" s="129"/>
      <c r="I42" s="129"/>
      <c r="J42" s="119">
        <v>843.6</v>
      </c>
      <c r="K42" s="129"/>
      <c r="L42" s="129"/>
      <c r="M42" s="129">
        <f>(L$40-K$40)/4</f>
        <v>1.1368683772161603E-13</v>
      </c>
      <c r="N42" s="129">
        <f t="shared" si="1"/>
        <v>843.60000000000014</v>
      </c>
      <c r="O42" s="129"/>
      <c r="P42" s="129"/>
      <c r="Q42" s="129">
        <v>0</v>
      </c>
      <c r="R42" s="129"/>
      <c r="S42" s="2"/>
      <c r="V42" s="131" t="s">
        <v>169</v>
      </c>
      <c r="W42" s="130" t="s">
        <v>215</v>
      </c>
      <c r="X42" s="129">
        <f t="shared" si="2"/>
        <v>1401.8</v>
      </c>
      <c r="Y42" s="129"/>
      <c r="Z42" s="129"/>
      <c r="AA42" s="119">
        <v>119.7</v>
      </c>
      <c r="AB42" s="129"/>
      <c r="AC42" s="129"/>
      <c r="AD42" s="129">
        <f t="shared" si="6"/>
        <v>1521.5</v>
      </c>
      <c r="AE42" s="129"/>
      <c r="AF42" s="119">
        <v>122.6</v>
      </c>
      <c r="AG42" s="129"/>
      <c r="AH42" s="129"/>
      <c r="AI42" s="129"/>
      <c r="AJ42" s="136">
        <f>(AH$40-AG$40)/4</f>
        <v>-8.6749999999999829</v>
      </c>
      <c r="AK42" s="119">
        <f t="shared" si="3"/>
        <v>113.92500000000001</v>
      </c>
      <c r="AL42" s="129"/>
      <c r="AM42" s="129"/>
      <c r="AN42" s="119">
        <v>0</v>
      </c>
      <c r="AO42" s="129"/>
      <c r="AP42" s="131" t="s">
        <v>169</v>
      </c>
      <c r="AQ42" s="130" t="s">
        <v>215</v>
      </c>
      <c r="AR42" s="119">
        <v>380.4</v>
      </c>
      <c r="AS42" s="129"/>
      <c r="AT42" s="119"/>
      <c r="AU42" s="136">
        <f>(AS$40-AT$40)/4</f>
        <v>0.29999999999999716</v>
      </c>
      <c r="AV42" s="129">
        <f t="shared" si="4"/>
        <v>380.09999999999997</v>
      </c>
      <c r="AW42" s="129"/>
      <c r="AX42" s="129"/>
      <c r="AY42" s="129">
        <f t="shared" si="5"/>
        <v>2015.5249999999999</v>
      </c>
      <c r="AZ42" s="129"/>
      <c r="BA42" s="143"/>
    </row>
    <row r="43" spans="1:53">
      <c r="A43" s="131" t="s">
        <v>169</v>
      </c>
      <c r="B43" s="130" t="s">
        <v>214</v>
      </c>
      <c r="C43" s="119">
        <v>2380.5</v>
      </c>
      <c r="D43" s="119">
        <f>SUM(C43:C46)</f>
        <v>9258.7999999999993</v>
      </c>
      <c r="E43" s="129"/>
      <c r="F43" s="133">
        <f>(E$40-D$40)/4</f>
        <v>-0.5</v>
      </c>
      <c r="G43" s="133">
        <f t="shared" si="0"/>
        <v>2380</v>
      </c>
      <c r="H43" s="129">
        <f>SUM(G43:G46)</f>
        <v>9257.3249999999989</v>
      </c>
      <c r="I43" s="129"/>
      <c r="J43" s="119">
        <v>844.7</v>
      </c>
      <c r="K43" s="119">
        <f>SUM(J43:J46)</f>
        <v>3213.1000000000004</v>
      </c>
      <c r="L43" s="129"/>
      <c r="M43" s="129">
        <f>(L$40-K$40)/4</f>
        <v>1.1368683772161603E-13</v>
      </c>
      <c r="N43" s="129">
        <f t="shared" si="1"/>
        <v>844.70000000000016</v>
      </c>
      <c r="O43" s="129">
        <f>SUM(N43:N46)</f>
        <v>3213.0250000000005</v>
      </c>
      <c r="P43" s="129"/>
      <c r="Q43" s="129">
        <v>0</v>
      </c>
      <c r="R43" s="129">
        <f>SUM(Q43:Q46)</f>
        <v>0</v>
      </c>
      <c r="S43" s="2"/>
      <c r="V43" s="131" t="s">
        <v>169</v>
      </c>
      <c r="W43" s="130" t="s">
        <v>214</v>
      </c>
      <c r="X43" s="129">
        <f t="shared" si="2"/>
        <v>1535.2999999999997</v>
      </c>
      <c r="Y43" s="129">
        <f>SUM(X43:X46)</f>
        <v>6044.2999999999993</v>
      </c>
      <c r="Z43" s="129"/>
      <c r="AA43" s="119">
        <v>504.7</v>
      </c>
      <c r="AB43" s="129">
        <f>SUM(AA43:AA46)</f>
        <v>999.7</v>
      </c>
      <c r="AC43" s="129"/>
      <c r="AD43" s="129">
        <f t="shared" si="6"/>
        <v>2039.9999999999998</v>
      </c>
      <c r="AE43" s="129">
        <f>Y43+AB43</f>
        <v>7043.9999999999991</v>
      </c>
      <c r="AF43" s="119">
        <v>192.1</v>
      </c>
      <c r="AG43" s="129">
        <f>SUM(AF43:AF46)</f>
        <v>770.40000000000009</v>
      </c>
      <c r="AH43" s="129"/>
      <c r="AI43" s="129"/>
      <c r="AJ43" s="136">
        <f>(AH$40-AG$40)/4</f>
        <v>-8.6749999999999829</v>
      </c>
      <c r="AK43" s="119">
        <f t="shared" si="3"/>
        <v>183.42500000000001</v>
      </c>
      <c r="AL43" s="129">
        <f>SUM(AK43:AK46)</f>
        <v>725.72500000000014</v>
      </c>
      <c r="AM43" s="129"/>
      <c r="AN43" s="119">
        <v>104.5</v>
      </c>
      <c r="AO43" s="129">
        <f>SUM(AN43:AN46)</f>
        <v>591.6</v>
      </c>
      <c r="AP43" s="131" t="s">
        <v>169</v>
      </c>
      <c r="AQ43" s="130" t="s">
        <v>214</v>
      </c>
      <c r="AR43" s="119">
        <v>120.9</v>
      </c>
      <c r="AS43" s="129">
        <f>SUM(AR43:AR46)</f>
        <v>523.79999999999995</v>
      </c>
      <c r="AT43" s="119"/>
      <c r="AU43" s="136">
        <f>(AS$40-AT$40)/4</f>
        <v>0.29999999999999716</v>
      </c>
      <c r="AV43" s="129">
        <f t="shared" si="4"/>
        <v>120.60000000000001</v>
      </c>
      <c r="AW43" s="129">
        <f>SUM(AV43:AV46)</f>
        <v>522.45000000000016</v>
      </c>
      <c r="AX43" s="129"/>
      <c r="AY43" s="129">
        <f t="shared" si="5"/>
        <v>2448.5249999999996</v>
      </c>
      <c r="AZ43" s="129">
        <f>SUM(AY43:AY46)</f>
        <v>8883.7749999999978</v>
      </c>
    </row>
    <row r="44" spans="1:53">
      <c r="A44" s="131" t="s">
        <v>213</v>
      </c>
      <c r="B44" s="130" t="s">
        <v>212</v>
      </c>
      <c r="C44" s="119">
        <v>2121.9</v>
      </c>
      <c r="D44" s="119">
        <f>SUM(C44:C47)</f>
        <v>9025.7000000000007</v>
      </c>
      <c r="E44" s="129">
        <v>9024.4</v>
      </c>
      <c r="F44" s="133">
        <f>(E$44-D$44)/4</f>
        <v>-0.32500000000027285</v>
      </c>
      <c r="G44" s="133">
        <f t="shared" si="0"/>
        <v>2121.5749999999998</v>
      </c>
      <c r="H44" s="119">
        <f>SUM(G44:G47)</f>
        <v>9024.3999999999978</v>
      </c>
      <c r="I44" s="129"/>
      <c r="J44" s="119">
        <v>779.3</v>
      </c>
      <c r="K44" s="119">
        <f>SUM(J44:J47)</f>
        <v>3050.4999999999995</v>
      </c>
      <c r="L44" s="129">
        <v>3050.4</v>
      </c>
      <c r="M44" s="129">
        <f>(L$44-K$44)/4</f>
        <v>-2.4999999999863576E-2</v>
      </c>
      <c r="N44" s="129">
        <f t="shared" si="1"/>
        <v>779.27500000000009</v>
      </c>
      <c r="O44" s="119">
        <f>SUM(N44:N47)</f>
        <v>3050.4000000000005</v>
      </c>
      <c r="P44" s="119"/>
      <c r="Q44" s="129">
        <v>0</v>
      </c>
      <c r="R44" s="129">
        <f>SUM(Q44:Q47)</f>
        <v>0</v>
      </c>
      <c r="S44" s="2"/>
      <c r="V44" s="131" t="s">
        <v>213</v>
      </c>
      <c r="W44" s="130" t="s">
        <v>212</v>
      </c>
      <c r="X44" s="129">
        <f t="shared" si="2"/>
        <v>1342.2999999999997</v>
      </c>
      <c r="Y44" s="129">
        <f>SUM(X44:X47)</f>
        <v>5973.9999999999982</v>
      </c>
      <c r="Z44" s="129"/>
      <c r="AA44" s="119">
        <v>165</v>
      </c>
      <c r="AB44" s="129">
        <f>SUM(AA44:AA47)</f>
        <v>660</v>
      </c>
      <c r="AC44" s="129"/>
      <c r="AD44" s="129">
        <f t="shared" si="6"/>
        <v>1507.2999999999997</v>
      </c>
      <c r="AE44" s="129">
        <f>Y44+AB44</f>
        <v>6633.9999999999982</v>
      </c>
      <c r="AF44" s="119">
        <v>238.9</v>
      </c>
      <c r="AG44" s="119">
        <f>SUM(AF44:AF47)</f>
        <v>969</v>
      </c>
      <c r="AH44" s="129">
        <v>921</v>
      </c>
      <c r="AI44" s="129">
        <v>0</v>
      </c>
      <c r="AJ44" s="136">
        <f>(AH$44-AG$44)/4</f>
        <v>-12</v>
      </c>
      <c r="AK44" s="119">
        <f t="shared" si="3"/>
        <v>226.9</v>
      </c>
      <c r="AL44" s="129">
        <f>SUM(AK44:AK47)</f>
        <v>921</v>
      </c>
      <c r="AM44" s="129"/>
      <c r="AN44" s="119">
        <v>487.1</v>
      </c>
      <c r="AO44" s="129">
        <f>SUM(AN44:AN47)</f>
        <v>487.1</v>
      </c>
      <c r="AP44" s="131" t="s">
        <v>213</v>
      </c>
      <c r="AQ44" s="130" t="s">
        <v>212</v>
      </c>
      <c r="AR44" s="119">
        <v>-221.9</v>
      </c>
      <c r="AS44" s="119">
        <f>SUM(AR44:AR47)</f>
        <v>585.59999999999991</v>
      </c>
      <c r="AT44" s="119">
        <v>584.20000000000005</v>
      </c>
      <c r="AU44" s="136">
        <f>(AS$44-AT$44)/4</f>
        <v>0.34999999999996589</v>
      </c>
      <c r="AV44" s="129">
        <f t="shared" si="4"/>
        <v>-222.24999999999997</v>
      </c>
      <c r="AW44" s="119">
        <f>SUM(AV44:AV47)</f>
        <v>584.20000000000016</v>
      </c>
      <c r="AX44" s="119"/>
      <c r="AY44" s="129">
        <f t="shared" si="5"/>
        <v>1999.0499999999997</v>
      </c>
      <c r="AZ44" s="119">
        <f>SUM(AY44:AY47)</f>
        <v>8626.2999999999993</v>
      </c>
      <c r="BA44" s="143"/>
    </row>
    <row r="45" spans="1:53">
      <c r="A45" s="131" t="s">
        <v>169</v>
      </c>
      <c r="B45" s="130" t="s">
        <v>211</v>
      </c>
      <c r="C45" s="119">
        <v>2458.9</v>
      </c>
      <c r="D45" s="119"/>
      <c r="E45" s="129"/>
      <c r="F45" s="133">
        <f>(E$44-D$44)/4</f>
        <v>-0.32500000000027285</v>
      </c>
      <c r="G45" s="133">
        <f t="shared" si="0"/>
        <v>2458.5749999999998</v>
      </c>
      <c r="H45" s="129"/>
      <c r="I45" s="129"/>
      <c r="J45" s="119">
        <v>819.4</v>
      </c>
      <c r="K45" s="129"/>
      <c r="L45" s="129"/>
      <c r="M45" s="129">
        <f>(L$44-K$44)/4</f>
        <v>-2.4999999999863576E-2</v>
      </c>
      <c r="N45" s="129">
        <f t="shared" si="1"/>
        <v>819.37500000000011</v>
      </c>
      <c r="O45" s="129"/>
      <c r="P45" s="129"/>
      <c r="Q45" s="129">
        <v>0</v>
      </c>
      <c r="R45" s="129"/>
      <c r="S45" s="2"/>
      <c r="V45" s="131" t="s">
        <v>169</v>
      </c>
      <c r="W45" s="130" t="s">
        <v>211</v>
      </c>
      <c r="X45" s="129">
        <f t="shared" si="2"/>
        <v>1639.1999999999998</v>
      </c>
      <c r="Y45" s="129"/>
      <c r="Z45" s="129"/>
      <c r="AA45" s="119">
        <v>165</v>
      </c>
      <c r="AB45" s="129"/>
      <c r="AC45" s="129"/>
      <c r="AD45" s="129">
        <f t="shared" si="6"/>
        <v>1804.1999999999998</v>
      </c>
      <c r="AE45" s="129"/>
      <c r="AF45" s="119">
        <v>195.7</v>
      </c>
      <c r="AG45" s="129"/>
      <c r="AH45" s="129"/>
      <c r="AI45" s="129">
        <v>0</v>
      </c>
      <c r="AJ45" s="136">
        <f>(AH$44-AG$44)/4</f>
        <v>-12</v>
      </c>
      <c r="AK45" s="119">
        <f t="shared" si="3"/>
        <v>183.7</v>
      </c>
      <c r="AL45" s="129"/>
      <c r="AM45" s="129"/>
      <c r="AN45" s="119">
        <v>0</v>
      </c>
      <c r="AO45" s="129"/>
      <c r="AP45" s="131" t="s">
        <v>169</v>
      </c>
      <c r="AQ45" s="130" t="s">
        <v>211</v>
      </c>
      <c r="AR45" s="119">
        <v>203.8</v>
      </c>
      <c r="AS45" s="129"/>
      <c r="AT45" s="119"/>
      <c r="AU45" s="136">
        <f>(AS$44-AT$44)/4</f>
        <v>0.34999999999996589</v>
      </c>
      <c r="AV45" s="129">
        <f t="shared" si="4"/>
        <v>203.45000000000005</v>
      </c>
      <c r="AW45" s="129"/>
      <c r="AX45" s="129"/>
      <c r="AY45" s="129">
        <f t="shared" si="5"/>
        <v>2191.35</v>
      </c>
      <c r="AZ45" s="129"/>
      <c r="BA45" s="143"/>
    </row>
    <row r="46" spans="1:53">
      <c r="A46" s="131" t="s">
        <v>169</v>
      </c>
      <c r="B46" s="130" t="s">
        <v>210</v>
      </c>
      <c r="C46" s="119">
        <v>2297.5</v>
      </c>
      <c r="D46" s="119"/>
      <c r="E46" s="129"/>
      <c r="F46" s="133">
        <f>(E$44-D$44)/4</f>
        <v>-0.32500000000027285</v>
      </c>
      <c r="G46" s="133">
        <f t="shared" si="0"/>
        <v>2297.1749999999997</v>
      </c>
      <c r="H46" s="129"/>
      <c r="I46" s="129"/>
      <c r="J46" s="119">
        <v>769.7</v>
      </c>
      <c r="K46" s="129"/>
      <c r="L46" s="129"/>
      <c r="M46" s="129">
        <f>(L$44-K$44)/4</f>
        <v>-2.4999999999863576E-2</v>
      </c>
      <c r="N46" s="129">
        <f t="shared" si="1"/>
        <v>769.67500000000018</v>
      </c>
      <c r="O46" s="129"/>
      <c r="P46" s="129"/>
      <c r="Q46" s="129">
        <v>0</v>
      </c>
      <c r="R46" s="129"/>
      <c r="S46" s="2"/>
      <c r="V46" s="131" t="s">
        <v>169</v>
      </c>
      <c r="W46" s="130" t="s">
        <v>210</v>
      </c>
      <c r="X46" s="129">
        <f t="shared" si="2"/>
        <v>1527.4999999999995</v>
      </c>
      <c r="Y46" s="129"/>
      <c r="Z46" s="129"/>
      <c r="AA46" s="119">
        <v>165</v>
      </c>
      <c r="AB46" s="129"/>
      <c r="AC46" s="129"/>
      <c r="AD46" s="129">
        <f t="shared" si="6"/>
        <v>1692.4999999999995</v>
      </c>
      <c r="AE46" s="129"/>
      <c r="AF46" s="119">
        <v>143.69999999999999</v>
      </c>
      <c r="AG46" s="129"/>
      <c r="AH46" s="129"/>
      <c r="AI46" s="129">
        <v>0</v>
      </c>
      <c r="AJ46" s="136">
        <f>(AH$44-AG$44)/4</f>
        <v>-12</v>
      </c>
      <c r="AK46" s="119">
        <f t="shared" si="3"/>
        <v>131.69999999999999</v>
      </c>
      <c r="AL46" s="129"/>
      <c r="AM46" s="129"/>
      <c r="AN46" s="119">
        <v>0</v>
      </c>
      <c r="AO46" s="129"/>
      <c r="AP46" s="131" t="s">
        <v>169</v>
      </c>
      <c r="AQ46" s="130" t="s">
        <v>210</v>
      </c>
      <c r="AR46" s="119">
        <v>421</v>
      </c>
      <c r="AS46" s="129"/>
      <c r="AT46" s="119"/>
      <c r="AU46" s="136">
        <f>(AS$44-AT$44)/4</f>
        <v>0.34999999999996589</v>
      </c>
      <c r="AV46" s="129">
        <f t="shared" si="4"/>
        <v>420.65000000000003</v>
      </c>
      <c r="AW46" s="129"/>
      <c r="AX46" s="129"/>
      <c r="AY46" s="129">
        <f t="shared" si="5"/>
        <v>2244.8499999999995</v>
      </c>
      <c r="AZ46" s="129"/>
      <c r="BA46" s="143"/>
    </row>
    <row r="47" spans="1:53">
      <c r="A47" s="131" t="s">
        <v>169</v>
      </c>
      <c r="B47" s="130" t="s">
        <v>209</v>
      </c>
      <c r="C47" s="119">
        <v>2147.4</v>
      </c>
      <c r="D47" s="119">
        <f>SUM(C47:C50)</f>
        <v>7930.6</v>
      </c>
      <c r="E47" s="129"/>
      <c r="F47" s="133">
        <f>(E$44-D$44)/4</f>
        <v>-0.32500000000027285</v>
      </c>
      <c r="G47" s="133">
        <f t="shared" si="0"/>
        <v>2147.0749999999998</v>
      </c>
      <c r="H47" s="129">
        <f>SUM(G47:G50)</f>
        <v>7940.7749999999996</v>
      </c>
      <c r="I47" s="129"/>
      <c r="J47" s="119">
        <v>682.1</v>
      </c>
      <c r="K47" s="119">
        <f>SUM(J47:J50)</f>
        <v>2340.5</v>
      </c>
      <c r="L47" s="129"/>
      <c r="M47" s="129">
        <f>(L$44-K$44)/4</f>
        <v>-2.4999999999863576E-2</v>
      </c>
      <c r="N47" s="129">
        <f t="shared" si="1"/>
        <v>682.07500000000016</v>
      </c>
      <c r="O47" s="129">
        <f>SUM(N47:N50)</f>
        <v>2340.5500000000002</v>
      </c>
      <c r="P47" s="129"/>
      <c r="Q47" s="129">
        <v>0</v>
      </c>
      <c r="R47" s="129">
        <f>SUM(Q47:Q50)</f>
        <v>0</v>
      </c>
      <c r="S47" s="2"/>
      <c r="V47" s="131" t="s">
        <v>169</v>
      </c>
      <c r="W47" s="130" t="s">
        <v>209</v>
      </c>
      <c r="X47" s="129">
        <f t="shared" si="2"/>
        <v>1464.9999999999995</v>
      </c>
      <c r="Y47" s="129">
        <f>SUM(X47:X50)</f>
        <v>5600.2250000000004</v>
      </c>
      <c r="Z47" s="129"/>
      <c r="AA47" s="119">
        <v>165</v>
      </c>
      <c r="AB47" s="129">
        <f>SUM(AA47:AA50)</f>
        <v>365</v>
      </c>
      <c r="AC47" s="129"/>
      <c r="AD47" s="129">
        <f t="shared" si="6"/>
        <v>1629.9999999999995</v>
      </c>
      <c r="AE47" s="129">
        <f>Y47+AB47</f>
        <v>5965.2250000000004</v>
      </c>
      <c r="AF47" s="119">
        <v>390.7</v>
      </c>
      <c r="AG47" s="129">
        <f>SUM(AF47:AF50)</f>
        <v>963.7</v>
      </c>
      <c r="AH47" s="129"/>
      <c r="AI47" s="129">
        <v>0</v>
      </c>
      <c r="AJ47" s="136">
        <f>(AH$44-AG$44)/4</f>
        <v>-12</v>
      </c>
      <c r="AK47" s="119">
        <f t="shared" si="3"/>
        <v>378.7</v>
      </c>
      <c r="AL47" s="129">
        <f>SUM(AK47:AK50)</f>
        <v>912.17500000000007</v>
      </c>
      <c r="AM47" s="129"/>
      <c r="AN47" s="119">
        <v>0</v>
      </c>
      <c r="AO47" s="129">
        <f>SUM(AN47:AN50)</f>
        <v>0</v>
      </c>
      <c r="AP47" s="131" t="s">
        <v>169</v>
      </c>
      <c r="AQ47" s="130" t="s">
        <v>209</v>
      </c>
      <c r="AR47" s="119">
        <v>182.7</v>
      </c>
      <c r="AS47" s="129">
        <f>SUM(AR47:AR50)</f>
        <v>393.09999999999997</v>
      </c>
      <c r="AT47" s="119"/>
      <c r="AU47" s="136">
        <f>(AS$44-AT$44)/4</f>
        <v>0.34999999999996589</v>
      </c>
      <c r="AV47" s="129">
        <f t="shared" si="4"/>
        <v>182.35000000000002</v>
      </c>
      <c r="AW47" s="129">
        <f>SUM(AV47:AV50)</f>
        <v>391.40000000000003</v>
      </c>
      <c r="AX47" s="129"/>
      <c r="AY47" s="129">
        <f t="shared" si="5"/>
        <v>2191.0499999999997</v>
      </c>
      <c r="AZ47" s="129">
        <f>SUM(AY47:AY50)</f>
        <v>7268.8</v>
      </c>
    </row>
    <row r="48" spans="1:53">
      <c r="A48" s="131" t="s">
        <v>208</v>
      </c>
      <c r="B48" s="130" t="s">
        <v>207</v>
      </c>
      <c r="C48" s="119">
        <v>1807.9</v>
      </c>
      <c r="D48" s="119">
        <f>SUM(C48:C51)</f>
        <v>7789.9</v>
      </c>
      <c r="E48" s="129">
        <v>7803.9</v>
      </c>
      <c r="F48" s="133">
        <f>(E$48-D$48)/4</f>
        <v>3.5</v>
      </c>
      <c r="G48" s="133">
        <f t="shared" si="0"/>
        <v>1811.4</v>
      </c>
      <c r="H48" s="119">
        <f>SUM(G48:G51)</f>
        <v>7803.9</v>
      </c>
      <c r="I48" s="129"/>
      <c r="J48" s="119">
        <v>579.6</v>
      </c>
      <c r="K48" s="119">
        <f>SUM(J48:J51)</f>
        <v>2317.6999999999998</v>
      </c>
      <c r="L48" s="129">
        <v>2317.8000000000002</v>
      </c>
      <c r="M48" s="129">
        <f>(L$48-K$48)/4</f>
        <v>2.5000000000090949E-2</v>
      </c>
      <c r="N48" s="129">
        <f t="shared" si="1"/>
        <v>579.62500000000011</v>
      </c>
      <c r="O48" s="119">
        <f>SUM(N48:N51)</f>
        <v>2317.8000000000002</v>
      </c>
      <c r="P48" s="119"/>
      <c r="Q48" s="129">
        <v>0</v>
      </c>
      <c r="R48" s="129">
        <f>SUM(Q48:Q51)</f>
        <v>0</v>
      </c>
      <c r="S48" s="2"/>
      <c r="V48" s="131" t="s">
        <v>208</v>
      </c>
      <c r="W48" s="130" t="s">
        <v>207</v>
      </c>
      <c r="X48" s="129">
        <f t="shared" si="2"/>
        <v>1231.7750000000001</v>
      </c>
      <c r="Y48" s="129">
        <f>SUM(X48:X51)</f>
        <v>5486.1</v>
      </c>
      <c r="Z48" s="129"/>
      <c r="AA48" s="119">
        <v>165</v>
      </c>
      <c r="AB48" s="129">
        <f>SUM(AA48:AA51)</f>
        <v>217.5</v>
      </c>
      <c r="AC48" s="129"/>
      <c r="AD48" s="129">
        <f t="shared" si="6"/>
        <v>1396.7750000000001</v>
      </c>
      <c r="AE48" s="129">
        <f>Y48+AB48</f>
        <v>5703.6</v>
      </c>
      <c r="AF48" s="119">
        <v>150.69999999999999</v>
      </c>
      <c r="AG48" s="119">
        <f>SUM(AF48:AF51)</f>
        <v>898.9</v>
      </c>
      <c r="AH48" s="129">
        <v>738.7</v>
      </c>
      <c r="AI48" s="129">
        <v>0</v>
      </c>
      <c r="AJ48" s="136">
        <f>(AH$48-AI$48-AI$49-AI$50-AI$51-AG$48)/4</f>
        <v>-13.174999999999983</v>
      </c>
      <c r="AK48" s="119">
        <f t="shared" ref="AK48:AK59" si="7">AF48+AI48+AJ48</f>
        <v>137.52500000000001</v>
      </c>
      <c r="AL48" s="129">
        <f>SUM(AK48:AK51)</f>
        <v>738.7</v>
      </c>
      <c r="AM48" s="129"/>
      <c r="AN48" s="119">
        <v>0</v>
      </c>
      <c r="AO48" s="129">
        <f>SUM(AN48:AN51)</f>
        <v>0</v>
      </c>
      <c r="AP48" s="131" t="s">
        <v>208</v>
      </c>
      <c r="AQ48" s="130" t="s">
        <v>207</v>
      </c>
      <c r="AR48" s="119">
        <v>182.2</v>
      </c>
      <c r="AS48" s="119">
        <f>SUM(AR48:AR51)</f>
        <v>602.4</v>
      </c>
      <c r="AT48" s="119">
        <v>600.6</v>
      </c>
      <c r="AU48" s="136">
        <f>(AS$48-AT$48)/4</f>
        <v>0.44999999999998863</v>
      </c>
      <c r="AV48" s="129">
        <f t="shared" si="4"/>
        <v>181.75</v>
      </c>
      <c r="AW48" s="119">
        <f>SUM(AV48:AV51)</f>
        <v>600.6</v>
      </c>
      <c r="AX48" s="119"/>
      <c r="AY48" s="129">
        <f t="shared" si="5"/>
        <v>1716.0500000000002</v>
      </c>
      <c r="AZ48" s="119">
        <f>SUM(AY48:AY51)</f>
        <v>7042.9</v>
      </c>
      <c r="BA48" s="143"/>
    </row>
    <row r="49" spans="1:55">
      <c r="A49" s="131" t="s">
        <v>169</v>
      </c>
      <c r="B49" s="130" t="s">
        <v>206</v>
      </c>
      <c r="C49" s="119">
        <v>2039.3</v>
      </c>
      <c r="D49" s="119"/>
      <c r="E49" s="129"/>
      <c r="F49" s="133">
        <f>(E$48-D$48)/4</f>
        <v>3.5</v>
      </c>
      <c r="G49" s="133">
        <f t="shared" si="0"/>
        <v>2042.8</v>
      </c>
      <c r="H49" s="129"/>
      <c r="I49" s="129"/>
      <c r="J49" s="119">
        <v>568.29999999999995</v>
      </c>
      <c r="K49" s="129"/>
      <c r="L49" s="129"/>
      <c r="M49" s="129">
        <f>(L$48-K$48)/4</f>
        <v>2.5000000000090949E-2</v>
      </c>
      <c r="N49" s="129">
        <f t="shared" si="1"/>
        <v>568.32500000000005</v>
      </c>
      <c r="O49" s="129"/>
      <c r="P49" s="129"/>
      <c r="Q49" s="129">
        <v>0</v>
      </c>
      <c r="R49" s="129"/>
      <c r="S49" s="2"/>
      <c r="V49" s="131" t="s">
        <v>169</v>
      </c>
      <c r="W49" s="130" t="s">
        <v>206</v>
      </c>
      <c r="X49" s="129">
        <f t="shared" si="2"/>
        <v>1474.4749999999999</v>
      </c>
      <c r="Y49" s="129"/>
      <c r="Z49" s="129"/>
      <c r="AA49" s="119">
        <v>0</v>
      </c>
      <c r="AB49" s="129"/>
      <c r="AC49" s="129"/>
      <c r="AD49" s="129">
        <f t="shared" si="6"/>
        <v>1474.4749999999999</v>
      </c>
      <c r="AE49" s="129"/>
      <c r="AF49" s="119">
        <v>88.5</v>
      </c>
      <c r="AG49" s="129"/>
      <c r="AH49" s="129"/>
      <c r="AI49" s="129">
        <v>0</v>
      </c>
      <c r="AJ49" s="136">
        <f>(AH$48-AI$48-AI$49-AI$50-AI$51-AG$48)/4</f>
        <v>-13.174999999999983</v>
      </c>
      <c r="AK49" s="119">
        <f t="shared" si="7"/>
        <v>75.325000000000017</v>
      </c>
      <c r="AL49" s="129"/>
      <c r="AM49" s="129"/>
      <c r="AN49" s="119">
        <v>0</v>
      </c>
      <c r="AO49" s="129"/>
      <c r="AP49" s="131" t="s">
        <v>169</v>
      </c>
      <c r="AQ49" s="130" t="s">
        <v>206</v>
      </c>
      <c r="AR49" s="119">
        <v>-258.60000000000002</v>
      </c>
      <c r="AS49" s="129"/>
      <c r="AT49" s="119"/>
      <c r="AU49" s="136">
        <f>(AS$48-AT$48)/4</f>
        <v>0.44999999999998863</v>
      </c>
      <c r="AV49" s="129">
        <f t="shared" si="4"/>
        <v>-259.05</v>
      </c>
      <c r="AW49" s="129"/>
      <c r="AX49" s="129"/>
      <c r="AY49" s="129">
        <f t="shared" si="5"/>
        <v>1290.75</v>
      </c>
      <c r="AZ49" s="129"/>
      <c r="BA49" s="143"/>
    </row>
    <row r="50" spans="1:55">
      <c r="A50" s="131" t="s">
        <v>169</v>
      </c>
      <c r="B50" s="130" t="s">
        <v>205</v>
      </c>
      <c r="C50" s="119">
        <v>1936</v>
      </c>
      <c r="D50" s="119"/>
      <c r="E50" s="129"/>
      <c r="F50" s="133">
        <f>(E$48-D$48)/4</f>
        <v>3.5</v>
      </c>
      <c r="G50" s="133">
        <f t="shared" si="0"/>
        <v>1939.5</v>
      </c>
      <c r="H50" s="129"/>
      <c r="I50" s="129"/>
      <c r="J50" s="119">
        <v>510.5</v>
      </c>
      <c r="K50" s="129"/>
      <c r="L50" s="129"/>
      <c r="M50" s="129">
        <f>(L$48-K$48)/4</f>
        <v>2.5000000000090949E-2</v>
      </c>
      <c r="N50" s="129">
        <f t="shared" si="1"/>
        <v>510.52500000000009</v>
      </c>
      <c r="O50" s="129"/>
      <c r="P50" s="129"/>
      <c r="Q50" s="129">
        <v>0</v>
      </c>
      <c r="R50" s="129"/>
      <c r="S50" s="2"/>
      <c r="V50" s="131" t="s">
        <v>169</v>
      </c>
      <c r="W50" s="130" t="s">
        <v>205</v>
      </c>
      <c r="X50" s="129">
        <f t="shared" si="2"/>
        <v>1428.9749999999999</v>
      </c>
      <c r="Y50" s="129"/>
      <c r="Z50" s="129"/>
      <c r="AA50" s="119">
        <v>35</v>
      </c>
      <c r="AB50" s="129"/>
      <c r="AC50" s="129"/>
      <c r="AD50" s="129">
        <f t="shared" si="6"/>
        <v>1463.9749999999999</v>
      </c>
      <c r="AE50" s="129"/>
      <c r="AF50" s="119">
        <v>333.8</v>
      </c>
      <c r="AG50" s="129"/>
      <c r="AH50" s="129"/>
      <c r="AI50" s="129">
        <v>0</v>
      </c>
      <c r="AJ50" s="136">
        <f>(AH$48-AI$48-AI$49-AI$50-AI$51-AG$48)/4</f>
        <v>-13.174999999999983</v>
      </c>
      <c r="AK50" s="119">
        <f t="shared" si="7"/>
        <v>320.625</v>
      </c>
      <c r="AL50" s="129"/>
      <c r="AM50" s="129"/>
      <c r="AN50" s="119">
        <v>0</v>
      </c>
      <c r="AO50" s="129"/>
      <c r="AP50" s="131" t="s">
        <v>169</v>
      </c>
      <c r="AQ50" s="130" t="s">
        <v>205</v>
      </c>
      <c r="AR50" s="119">
        <v>286.8</v>
      </c>
      <c r="AS50" s="129"/>
      <c r="AT50" s="119"/>
      <c r="AU50" s="136">
        <f>(AS$48-AT$48)/4</f>
        <v>0.44999999999998863</v>
      </c>
      <c r="AV50" s="129">
        <f t="shared" si="4"/>
        <v>286.35000000000002</v>
      </c>
      <c r="AW50" s="129"/>
      <c r="AX50" s="129"/>
      <c r="AY50" s="129">
        <f t="shared" si="5"/>
        <v>2070.9499999999998</v>
      </c>
      <c r="AZ50" s="129"/>
      <c r="BA50" s="143"/>
    </row>
    <row r="51" spans="1:55">
      <c r="A51" s="131" t="s">
        <v>169</v>
      </c>
      <c r="B51" s="130" t="s">
        <v>204</v>
      </c>
      <c r="C51" s="119">
        <v>2006.7</v>
      </c>
      <c r="D51" s="119">
        <f>SUM(C51:C54)</f>
        <v>7039.9</v>
      </c>
      <c r="E51" s="129"/>
      <c r="F51" s="133">
        <f>(E$48-D$48)/4</f>
        <v>3.5</v>
      </c>
      <c r="G51" s="133">
        <f t="shared" ref="G51:G79" si="8">C51+F51</f>
        <v>2010.2</v>
      </c>
      <c r="H51" s="129">
        <f>SUM(G51:G54)</f>
        <v>7043.0999999999995</v>
      </c>
      <c r="I51" s="129"/>
      <c r="J51" s="119">
        <v>659.3</v>
      </c>
      <c r="K51" s="119">
        <f>SUM(J51:J54)</f>
        <v>1845.3</v>
      </c>
      <c r="L51" s="129"/>
      <c r="M51" s="129">
        <f>(L$48-K$48)/4</f>
        <v>2.5000000000090949E-2</v>
      </c>
      <c r="N51" s="129">
        <f t="shared" ref="N51:N79" si="9">J51+M51</f>
        <v>659.32500000000005</v>
      </c>
      <c r="O51" s="129">
        <f>SUM(N51:N54)</f>
        <v>1845.4</v>
      </c>
      <c r="P51" s="129"/>
      <c r="Q51" s="129">
        <v>0</v>
      </c>
      <c r="R51" s="129">
        <f>SUM(Q51:Q54)</f>
        <v>0</v>
      </c>
      <c r="S51" s="2"/>
      <c r="V51" s="131" t="s">
        <v>169</v>
      </c>
      <c r="W51" s="130" t="s">
        <v>204</v>
      </c>
      <c r="X51" s="129">
        <f t="shared" ref="X51:X79" si="10">G51-N51-Q51</f>
        <v>1350.875</v>
      </c>
      <c r="Y51" s="129">
        <f>SUM(X51:X54)</f>
        <v>5197.6999999999989</v>
      </c>
      <c r="Z51" s="129"/>
      <c r="AA51" s="119">
        <v>17.5</v>
      </c>
      <c r="AB51" s="129">
        <f>SUM(AA51:AA54)</f>
        <v>70</v>
      </c>
      <c r="AC51" s="129"/>
      <c r="AD51" s="129">
        <f t="shared" si="6"/>
        <v>1368.375</v>
      </c>
      <c r="AE51" s="129">
        <f>Y51+AB51</f>
        <v>5267.6999999999989</v>
      </c>
      <c r="AF51" s="119">
        <v>325.89999999999998</v>
      </c>
      <c r="AG51" s="129">
        <f>SUM(AF51:AF54)</f>
        <v>804.40000000000009</v>
      </c>
      <c r="AH51" s="129"/>
      <c r="AI51" s="129">
        <v>-107.5</v>
      </c>
      <c r="AJ51" s="136">
        <f>(AH$48-AI$48-AI$49-AI$50-AI$51-AG$48)/4</f>
        <v>-13.174999999999983</v>
      </c>
      <c r="AK51" s="119">
        <f t="shared" si="7"/>
        <v>205.22499999999999</v>
      </c>
      <c r="AL51" s="129">
        <f>SUM(AK51:AK54)</f>
        <v>615.44999999999993</v>
      </c>
      <c r="AM51" s="129"/>
      <c r="AN51" s="119">
        <v>0</v>
      </c>
      <c r="AO51" s="129">
        <f>SUM(AN51:AN54)</f>
        <v>0</v>
      </c>
      <c r="AP51" s="131" t="s">
        <v>169</v>
      </c>
      <c r="AQ51" s="130" t="s">
        <v>204</v>
      </c>
      <c r="AR51" s="119">
        <v>392</v>
      </c>
      <c r="AS51" s="129">
        <f>SUM(AR51:AR54)</f>
        <v>580.9</v>
      </c>
      <c r="AT51" s="119"/>
      <c r="AU51" s="136">
        <f>(AS$48-AT$48)/4</f>
        <v>0.44999999999998863</v>
      </c>
      <c r="AV51" s="129">
        <f t="shared" ref="AV51:AV79" si="11">AR51-AU51</f>
        <v>391.55</v>
      </c>
      <c r="AW51" s="129">
        <f>SUM(AV51:AV54)</f>
        <v>580.52500000000009</v>
      </c>
      <c r="AX51" s="129"/>
      <c r="AY51" s="129">
        <f t="shared" ref="AY51:AY79" si="12">G51-N51-Q51+AA51+AK51+AN51+AV51</f>
        <v>1965.1499999999999</v>
      </c>
      <c r="AZ51" s="129">
        <f>SUM(AY51:AY54)</f>
        <v>6463.6750000000002</v>
      </c>
    </row>
    <row r="52" spans="1:55">
      <c r="A52" s="131" t="s">
        <v>203</v>
      </c>
      <c r="B52" s="130" t="s">
        <v>202</v>
      </c>
      <c r="C52" s="119">
        <v>1689</v>
      </c>
      <c r="D52" s="119">
        <f>SUM(C52:C55)</f>
        <v>6646.9000000000005</v>
      </c>
      <c r="E52" s="129">
        <v>6646.5</v>
      </c>
      <c r="F52" s="133">
        <f>(E$52-D$52)/4</f>
        <v>-0.10000000000013642</v>
      </c>
      <c r="G52" s="133">
        <f t="shared" si="8"/>
        <v>1688.8999999999999</v>
      </c>
      <c r="H52" s="119">
        <f>SUM(G52:G55)</f>
        <v>6646.5</v>
      </c>
      <c r="I52" s="129"/>
      <c r="J52" s="119">
        <v>359.9</v>
      </c>
      <c r="K52" s="119">
        <f>SUM(J52:J55)</f>
        <v>1722.9</v>
      </c>
      <c r="L52" s="129">
        <v>1723</v>
      </c>
      <c r="M52" s="129">
        <f>(L$52-K$52)/4</f>
        <v>2.4999999999977263E-2</v>
      </c>
      <c r="N52" s="129">
        <f t="shared" si="9"/>
        <v>359.92499999999995</v>
      </c>
      <c r="O52" s="119">
        <f>SUM(N52:N55)</f>
        <v>1723</v>
      </c>
      <c r="P52" s="119"/>
      <c r="Q52" s="129">
        <v>0</v>
      </c>
      <c r="R52" s="129">
        <f>SUM(Q52:Q55)</f>
        <v>0</v>
      </c>
      <c r="S52" s="2"/>
      <c r="V52" s="131" t="s">
        <v>203</v>
      </c>
      <c r="W52" s="130" t="s">
        <v>202</v>
      </c>
      <c r="X52" s="129">
        <f t="shared" si="10"/>
        <v>1328.9749999999999</v>
      </c>
      <c r="Y52" s="129">
        <f>SUM(X52:X55)</f>
        <v>4923.4999999999991</v>
      </c>
      <c r="Z52" s="129"/>
      <c r="AA52" s="119">
        <v>17.5</v>
      </c>
      <c r="AB52" s="129">
        <f>SUM(AA52:AA55)</f>
        <v>70</v>
      </c>
      <c r="AC52" s="129"/>
      <c r="AD52" s="129">
        <f t="shared" si="6"/>
        <v>1346.4749999999999</v>
      </c>
      <c r="AE52" s="129">
        <f>Y52+AB52</f>
        <v>4993.4999999999991</v>
      </c>
      <c r="AF52" s="119">
        <v>188.6</v>
      </c>
      <c r="AG52" s="119">
        <f>SUM(AF52:AF55)</f>
        <v>659.59999999999991</v>
      </c>
      <c r="AH52" s="129">
        <v>598.4</v>
      </c>
      <c r="AI52" s="129">
        <v>0</v>
      </c>
      <c r="AJ52" s="136">
        <f>(AH$52-AI$52-AI$53-AI$54-AI$55-AG$52)/4</f>
        <v>-1.125</v>
      </c>
      <c r="AK52" s="119">
        <f t="shared" si="7"/>
        <v>187.47499999999999</v>
      </c>
      <c r="AL52" s="129">
        <f>SUM(AK52:AK55)</f>
        <v>598.4</v>
      </c>
      <c r="AM52" s="129"/>
      <c r="AN52" s="119">
        <v>0</v>
      </c>
      <c r="AO52" s="129">
        <f>SUM(AN52:AN55)</f>
        <v>0</v>
      </c>
      <c r="AP52" s="131" t="s">
        <v>203</v>
      </c>
      <c r="AQ52" s="130" t="s">
        <v>202</v>
      </c>
      <c r="AR52" s="119">
        <v>-76.3</v>
      </c>
      <c r="AS52" s="119">
        <f>SUM(AR52:AR55)</f>
        <v>563.09999999999991</v>
      </c>
      <c r="AT52" s="119">
        <v>563.20000000000005</v>
      </c>
      <c r="AU52" s="119">
        <f>(AS$52-AT$52)/4</f>
        <v>-2.5000000000034106E-2</v>
      </c>
      <c r="AV52" s="129">
        <f t="shared" si="11"/>
        <v>-76.274999999999963</v>
      </c>
      <c r="AW52" s="119">
        <f>SUM(AV52:AV55)</f>
        <v>563.20000000000005</v>
      </c>
      <c r="AX52" s="119"/>
      <c r="AY52" s="129">
        <f t="shared" si="12"/>
        <v>1457.675</v>
      </c>
      <c r="AZ52" s="119">
        <f>SUM(AY52:AY55)</f>
        <v>6155.0999999999995</v>
      </c>
      <c r="BA52" s="143"/>
    </row>
    <row r="53" spans="1:55">
      <c r="A53" s="131" t="s">
        <v>169</v>
      </c>
      <c r="B53" s="130" t="s">
        <v>201</v>
      </c>
      <c r="C53" s="119">
        <v>1663.8</v>
      </c>
      <c r="D53" s="119"/>
      <c r="E53" s="129"/>
      <c r="F53" s="133">
        <f>(E$52-D$52)/4</f>
        <v>-0.10000000000013642</v>
      </c>
      <c r="G53" s="133">
        <f t="shared" si="8"/>
        <v>1663.6999999999998</v>
      </c>
      <c r="H53" s="129"/>
      <c r="I53" s="129"/>
      <c r="J53" s="119">
        <v>425.3</v>
      </c>
      <c r="K53" s="129"/>
      <c r="L53" s="129"/>
      <c r="M53" s="129">
        <f>(L$52-K$52)/4</f>
        <v>2.4999999999977263E-2</v>
      </c>
      <c r="N53" s="129">
        <f t="shared" si="9"/>
        <v>425.32499999999999</v>
      </c>
      <c r="O53" s="129"/>
      <c r="P53" s="129"/>
      <c r="Q53" s="129">
        <v>0</v>
      </c>
      <c r="R53" s="129"/>
      <c r="S53" s="2"/>
      <c r="V53" s="131" t="s">
        <v>169</v>
      </c>
      <c r="W53" s="130" t="s">
        <v>201</v>
      </c>
      <c r="X53" s="129">
        <f t="shared" si="10"/>
        <v>1238.3749999999998</v>
      </c>
      <c r="Y53" s="129"/>
      <c r="Z53" s="129"/>
      <c r="AA53" s="119">
        <v>17.5</v>
      </c>
      <c r="AB53" s="129"/>
      <c r="AC53" s="129"/>
      <c r="AD53" s="129">
        <f t="shared" ref="AD53:AD79" si="13">X53+AA53</f>
        <v>1255.8749999999998</v>
      </c>
      <c r="AE53" s="129"/>
      <c r="AF53" s="119">
        <v>149.19999999999999</v>
      </c>
      <c r="AG53" s="129"/>
      <c r="AH53" s="129"/>
      <c r="AI53" s="129">
        <v>-10.1</v>
      </c>
      <c r="AJ53" s="136">
        <f>(AH$52-AI$52-AI$53-AI$54-AI$55-AG$52)/4</f>
        <v>-1.125</v>
      </c>
      <c r="AK53" s="119">
        <f t="shared" si="7"/>
        <v>137.97499999999999</v>
      </c>
      <c r="AL53" s="129"/>
      <c r="AM53" s="129"/>
      <c r="AN53" s="119">
        <v>0</v>
      </c>
      <c r="AO53" s="129"/>
      <c r="AP53" s="131" t="s">
        <v>169</v>
      </c>
      <c r="AQ53" s="130" t="s">
        <v>201</v>
      </c>
      <c r="AR53" s="119">
        <v>-10.7</v>
      </c>
      <c r="AS53" s="129"/>
      <c r="AT53" s="119"/>
      <c r="AU53" s="119">
        <f>(AS$52-AT$52)/4</f>
        <v>-2.5000000000034106E-2</v>
      </c>
      <c r="AV53" s="129">
        <f t="shared" si="11"/>
        <v>-10.674999999999965</v>
      </c>
      <c r="AW53" s="129"/>
      <c r="AX53" s="129"/>
      <c r="AY53" s="129">
        <f t="shared" si="12"/>
        <v>1383.1749999999997</v>
      </c>
      <c r="AZ53" s="129"/>
      <c r="BA53" s="143"/>
    </row>
    <row r="54" spans="1:55">
      <c r="A54" s="131" t="s">
        <v>169</v>
      </c>
      <c r="B54" s="130" t="s">
        <v>200</v>
      </c>
      <c r="C54" s="119">
        <v>1680.4</v>
      </c>
      <c r="D54" s="119"/>
      <c r="E54" s="129"/>
      <c r="F54" s="133">
        <f>(E$52-D$52)/4</f>
        <v>-0.10000000000013642</v>
      </c>
      <c r="G54" s="133">
        <f t="shared" si="8"/>
        <v>1680.3</v>
      </c>
      <c r="H54" s="129"/>
      <c r="I54" s="129"/>
      <c r="J54" s="119">
        <v>400.8</v>
      </c>
      <c r="K54" s="129"/>
      <c r="L54" s="129"/>
      <c r="M54" s="129">
        <f>(L$52-K$52)/4</f>
        <v>2.4999999999977263E-2</v>
      </c>
      <c r="N54" s="129">
        <f t="shared" si="9"/>
        <v>400.82499999999999</v>
      </c>
      <c r="O54" s="129"/>
      <c r="P54" s="129"/>
      <c r="Q54" s="129">
        <v>0</v>
      </c>
      <c r="R54" s="129"/>
      <c r="S54" s="2"/>
      <c r="V54" s="131" t="s">
        <v>169</v>
      </c>
      <c r="W54" s="130" t="s">
        <v>200</v>
      </c>
      <c r="X54" s="129">
        <f t="shared" si="10"/>
        <v>1279.4749999999999</v>
      </c>
      <c r="Y54" s="129"/>
      <c r="Z54" s="129"/>
      <c r="AA54" s="119">
        <v>17.5</v>
      </c>
      <c r="AB54" s="129"/>
      <c r="AC54" s="129"/>
      <c r="AD54" s="129">
        <f t="shared" si="13"/>
        <v>1296.9749999999999</v>
      </c>
      <c r="AE54" s="129"/>
      <c r="AF54" s="119">
        <v>140.69999999999999</v>
      </c>
      <c r="AG54" s="129"/>
      <c r="AH54" s="129"/>
      <c r="AI54" s="129">
        <v>-54.8</v>
      </c>
      <c r="AJ54" s="136">
        <f>(AH$52-AI$52-AI$53-AI$54-AI$55-AG$52)/4</f>
        <v>-1.125</v>
      </c>
      <c r="AK54" s="119">
        <f t="shared" si="7"/>
        <v>84.774999999999991</v>
      </c>
      <c r="AL54" s="129"/>
      <c r="AM54" s="129"/>
      <c r="AN54" s="119">
        <v>0</v>
      </c>
      <c r="AO54" s="129"/>
      <c r="AP54" s="131" t="s">
        <v>169</v>
      </c>
      <c r="AQ54" s="130" t="s">
        <v>200</v>
      </c>
      <c r="AR54" s="119">
        <v>275.89999999999998</v>
      </c>
      <c r="AS54" s="129"/>
      <c r="AT54" s="119"/>
      <c r="AU54" s="119">
        <f>(AS$52-AT$52)/4</f>
        <v>-2.5000000000034106E-2</v>
      </c>
      <c r="AV54" s="129">
        <f t="shared" si="11"/>
        <v>275.92500000000001</v>
      </c>
      <c r="AW54" s="129"/>
      <c r="AX54" s="129"/>
      <c r="AY54" s="129">
        <f t="shared" si="12"/>
        <v>1657.675</v>
      </c>
      <c r="AZ54" s="129"/>
      <c r="BA54" s="143"/>
    </row>
    <row r="55" spans="1:55">
      <c r="A55" s="131" t="s">
        <v>169</v>
      </c>
      <c r="B55" s="130" t="s">
        <v>199</v>
      </c>
      <c r="C55" s="119">
        <v>1613.7</v>
      </c>
      <c r="D55" s="119">
        <f>SUM(C55:C58)</f>
        <v>6761.4</v>
      </c>
      <c r="E55" s="129"/>
      <c r="F55" s="133">
        <f>(E$52-D$52)/4</f>
        <v>-0.10000000000013642</v>
      </c>
      <c r="G55" s="133">
        <f t="shared" si="8"/>
        <v>1613.6</v>
      </c>
      <c r="H55" s="129">
        <f>SUM(G55:G58)</f>
        <v>6761.2999999999993</v>
      </c>
      <c r="I55" s="129"/>
      <c r="J55" s="119">
        <v>536.9</v>
      </c>
      <c r="K55" s="119">
        <f>SUM(J55:J58)</f>
        <v>1807.5</v>
      </c>
      <c r="L55" s="129"/>
      <c r="M55" s="129">
        <f>(L$52-K$52)/4</f>
        <v>2.4999999999977263E-2</v>
      </c>
      <c r="N55" s="129">
        <f t="shared" si="9"/>
        <v>536.92499999999995</v>
      </c>
      <c r="O55" s="129">
        <f>SUM(N55:N58)</f>
        <v>1807.5250000000001</v>
      </c>
      <c r="P55" s="129"/>
      <c r="Q55" s="129">
        <v>0</v>
      </c>
      <c r="R55" s="129">
        <f>SUM(Q55:Q58)</f>
        <v>0</v>
      </c>
      <c r="S55" s="2"/>
      <c r="V55" s="131" t="s">
        <v>169</v>
      </c>
      <c r="W55" s="130" t="s">
        <v>199</v>
      </c>
      <c r="X55" s="129">
        <f t="shared" si="10"/>
        <v>1076.675</v>
      </c>
      <c r="Y55" s="129">
        <f>SUM(X55:X58)</f>
        <v>4953.7749999999996</v>
      </c>
      <c r="Z55" s="129"/>
      <c r="AA55" s="119">
        <v>17.5</v>
      </c>
      <c r="AB55" s="129">
        <f>SUM(AA55:AA58)</f>
        <v>70</v>
      </c>
      <c r="AC55" s="129"/>
      <c r="AD55" s="129">
        <f t="shared" si="13"/>
        <v>1094.175</v>
      </c>
      <c r="AE55" s="129">
        <f>Y55+AB55</f>
        <v>5023.7749999999996</v>
      </c>
      <c r="AF55" s="119">
        <v>181.1</v>
      </c>
      <c r="AG55" s="129">
        <f>SUM(AF55:AF58)</f>
        <v>672.3</v>
      </c>
      <c r="AH55" s="129"/>
      <c r="AI55" s="129">
        <v>8.1999999999999993</v>
      </c>
      <c r="AJ55" s="136">
        <f>(AH$52-AI$52-AI$53-AI$54-AI$55-AG$52)/4</f>
        <v>-1.125</v>
      </c>
      <c r="AK55" s="119">
        <f t="shared" si="7"/>
        <v>188.17499999999998</v>
      </c>
      <c r="AL55" s="129">
        <f>SUM(AK55:AK58)</f>
        <v>673.07499999999993</v>
      </c>
      <c r="AM55" s="129"/>
      <c r="AN55" s="119">
        <v>0</v>
      </c>
      <c r="AO55" s="129">
        <f>SUM(AN55:AN58)</f>
        <v>0</v>
      </c>
      <c r="AP55" s="131" t="s">
        <v>169</v>
      </c>
      <c r="AQ55" s="130" t="s">
        <v>199</v>
      </c>
      <c r="AR55" s="119">
        <v>374.2</v>
      </c>
      <c r="AS55" s="129">
        <f>SUM(AR55:AR58)</f>
        <v>228.2</v>
      </c>
      <c r="AT55" s="119"/>
      <c r="AU55" s="119">
        <f>(AS$52-AT$52)/4</f>
        <v>-2.5000000000034106E-2</v>
      </c>
      <c r="AV55" s="129">
        <f t="shared" si="11"/>
        <v>374.22500000000002</v>
      </c>
      <c r="AW55" s="129">
        <f>SUM(AV55:AV58)</f>
        <v>228.22500000000002</v>
      </c>
      <c r="AX55" s="129"/>
      <c r="AY55" s="129">
        <f t="shared" si="12"/>
        <v>1656.5749999999998</v>
      </c>
      <c r="AZ55" s="129">
        <f>SUM(AY55:AY58)</f>
        <v>5925.0749999999998</v>
      </c>
    </row>
    <row r="56" spans="1:55">
      <c r="A56" s="131" t="s">
        <v>198</v>
      </c>
      <c r="B56" s="130" t="s">
        <v>197</v>
      </c>
      <c r="C56" s="119">
        <v>1617.8</v>
      </c>
      <c r="D56" s="119">
        <f>SUM(C56:C59)</f>
        <v>6846.1</v>
      </c>
      <c r="E56" s="129">
        <v>6846.1</v>
      </c>
      <c r="F56" s="133">
        <f>(E$56-D$56)/4</f>
        <v>0</v>
      </c>
      <c r="G56" s="133">
        <f t="shared" si="8"/>
        <v>1617.8</v>
      </c>
      <c r="H56" s="119">
        <f>SUM(G56:G59)</f>
        <v>6846.1</v>
      </c>
      <c r="I56" s="129"/>
      <c r="J56" s="119">
        <v>338.5</v>
      </c>
      <c r="K56" s="119">
        <f>SUM(J56:J59)</f>
        <v>1890.1999999999998</v>
      </c>
      <c r="L56" s="129">
        <v>1890.2</v>
      </c>
      <c r="M56" s="137">
        <f>(L$56-K$56)/4</f>
        <v>5.6843418860808015E-14</v>
      </c>
      <c r="N56" s="129">
        <f t="shared" si="9"/>
        <v>338.50000000000006</v>
      </c>
      <c r="O56" s="119">
        <f>SUM(N56:N59)</f>
        <v>1890.2000000000003</v>
      </c>
      <c r="P56" s="119"/>
      <c r="Q56" s="129">
        <v>0</v>
      </c>
      <c r="R56" s="129">
        <f>SUM(Q56:Q59)</f>
        <v>0</v>
      </c>
      <c r="S56" s="2"/>
      <c r="V56" s="131" t="s">
        <v>198</v>
      </c>
      <c r="W56" s="130" t="s">
        <v>197</v>
      </c>
      <c r="X56" s="129">
        <f t="shared" si="10"/>
        <v>1279.3</v>
      </c>
      <c r="Y56" s="129">
        <f>SUM(X56:X59)</f>
        <v>4955.9000000000005</v>
      </c>
      <c r="Z56" s="129"/>
      <c r="AA56" s="119">
        <v>17.5</v>
      </c>
      <c r="AB56" s="129">
        <f>SUM(AA56:AA59)</f>
        <v>70</v>
      </c>
      <c r="AC56" s="129"/>
      <c r="AD56" s="129">
        <f t="shared" si="13"/>
        <v>1296.8</v>
      </c>
      <c r="AE56" s="129">
        <f>Y56+AB56</f>
        <v>5025.9000000000005</v>
      </c>
      <c r="AF56" s="119">
        <v>129.69999999999999</v>
      </c>
      <c r="AG56" s="119">
        <f>SUM(AF56:AF59)</f>
        <v>721.7</v>
      </c>
      <c r="AH56" s="129">
        <v>706.2</v>
      </c>
      <c r="AI56" s="119">
        <v>-0.2</v>
      </c>
      <c r="AJ56" s="119">
        <v>0</v>
      </c>
      <c r="AK56" s="119">
        <f t="shared" si="7"/>
        <v>129.5</v>
      </c>
      <c r="AL56" s="129">
        <f>SUM(AK56:AK59)</f>
        <v>706.2</v>
      </c>
      <c r="AM56" s="129"/>
      <c r="AN56" s="119">
        <v>0</v>
      </c>
      <c r="AO56" s="129">
        <f>SUM(AN56:AN59)</f>
        <v>92.1</v>
      </c>
      <c r="AP56" s="131" t="s">
        <v>198</v>
      </c>
      <c r="AQ56" s="130" t="s">
        <v>197</v>
      </c>
      <c r="AR56" s="119">
        <v>-32.5</v>
      </c>
      <c r="AS56" s="119">
        <f>SUM(AR56:AR59)</f>
        <v>265</v>
      </c>
      <c r="AT56" s="119">
        <v>265</v>
      </c>
      <c r="AU56" s="119">
        <f>(AS$56-AT$56)/4</f>
        <v>0</v>
      </c>
      <c r="AV56" s="129">
        <f t="shared" si="11"/>
        <v>-32.5</v>
      </c>
      <c r="AW56" s="119">
        <f>SUM(AV56:AV59)</f>
        <v>265</v>
      </c>
      <c r="AX56" s="119"/>
      <c r="AY56" s="129">
        <f t="shared" si="12"/>
        <v>1393.8</v>
      </c>
      <c r="AZ56" s="134">
        <f>SUM(AY56:AY59)</f>
        <v>6089.2</v>
      </c>
      <c r="BA56" s="2"/>
      <c r="BB56" s="2"/>
    </row>
    <row r="57" spans="1:55">
      <c r="A57" s="131" t="s">
        <v>169</v>
      </c>
      <c r="B57" s="130" t="s">
        <v>196</v>
      </c>
      <c r="C57" s="119">
        <v>1774</v>
      </c>
      <c r="D57" s="119"/>
      <c r="E57" s="129"/>
      <c r="F57" s="133">
        <f>(E$56-D$56)/4</f>
        <v>0</v>
      </c>
      <c r="G57" s="133">
        <f t="shared" si="8"/>
        <v>1774</v>
      </c>
      <c r="H57" s="129"/>
      <c r="I57" s="129"/>
      <c r="J57" s="119">
        <v>495.5</v>
      </c>
      <c r="K57" s="129"/>
      <c r="L57" s="129"/>
      <c r="M57" s="137">
        <f>(L$56-K$56)/4</f>
        <v>5.6843418860808015E-14</v>
      </c>
      <c r="N57" s="129">
        <f t="shared" si="9"/>
        <v>495.50000000000006</v>
      </c>
      <c r="O57" s="129"/>
      <c r="P57" s="129"/>
      <c r="Q57" s="129">
        <v>0</v>
      </c>
      <c r="R57" s="129"/>
      <c r="S57" s="2"/>
      <c r="V57" s="131" t="s">
        <v>169</v>
      </c>
      <c r="W57" s="130" t="s">
        <v>196</v>
      </c>
      <c r="X57" s="129">
        <f t="shared" si="10"/>
        <v>1278.5</v>
      </c>
      <c r="Y57" s="129"/>
      <c r="Z57" s="129"/>
      <c r="AA57" s="119">
        <v>17.5</v>
      </c>
      <c r="AB57" s="129"/>
      <c r="AC57" s="129"/>
      <c r="AD57" s="129">
        <f t="shared" si="13"/>
        <v>1296</v>
      </c>
      <c r="AE57" s="129"/>
      <c r="AF57" s="119">
        <v>193.5</v>
      </c>
      <c r="AG57" s="129"/>
      <c r="AH57" s="129"/>
      <c r="AI57" s="119">
        <v>-3.7</v>
      </c>
      <c r="AJ57" s="119">
        <v>0</v>
      </c>
      <c r="AK57" s="119">
        <f t="shared" si="7"/>
        <v>189.8</v>
      </c>
      <c r="AL57" s="129"/>
      <c r="AM57" s="129"/>
      <c r="AN57" s="119">
        <v>0</v>
      </c>
      <c r="AO57" s="129"/>
      <c r="AP57" s="131" t="s">
        <v>169</v>
      </c>
      <c r="AQ57" s="130" t="s">
        <v>196</v>
      </c>
      <c r="AR57" s="119">
        <v>-60.3</v>
      </c>
      <c r="AS57" s="129"/>
      <c r="AT57" s="119"/>
      <c r="AU57" s="119">
        <f>(AS$56-AT$56)/4</f>
        <v>0</v>
      </c>
      <c r="AV57" s="129">
        <f t="shared" si="11"/>
        <v>-60.3</v>
      </c>
      <c r="AW57" s="129"/>
      <c r="AX57" s="129"/>
      <c r="AY57" s="129">
        <f t="shared" si="12"/>
        <v>1425.5</v>
      </c>
      <c r="AZ57" s="129"/>
      <c r="BA57" s="2"/>
      <c r="BB57" s="2"/>
    </row>
    <row r="58" spans="1:55">
      <c r="A58" s="131" t="s">
        <v>169</v>
      </c>
      <c r="B58" s="130" t="s">
        <v>195</v>
      </c>
      <c r="C58" s="119">
        <v>1755.9</v>
      </c>
      <c r="D58" s="119"/>
      <c r="E58" s="129"/>
      <c r="F58" s="133">
        <f>(E$56-D$56)/4</f>
        <v>0</v>
      </c>
      <c r="G58" s="133">
        <f t="shared" si="8"/>
        <v>1755.9</v>
      </c>
      <c r="H58" s="129"/>
      <c r="I58" s="129"/>
      <c r="J58" s="119">
        <v>436.6</v>
      </c>
      <c r="K58" s="129"/>
      <c r="L58" s="129"/>
      <c r="M58" s="137">
        <f>(L$56-K$56)/4</f>
        <v>5.6843418860808015E-14</v>
      </c>
      <c r="N58" s="129">
        <f t="shared" si="9"/>
        <v>436.60000000000008</v>
      </c>
      <c r="O58" s="129"/>
      <c r="P58" s="129"/>
      <c r="Q58" s="129">
        <v>0</v>
      </c>
      <c r="R58" s="129"/>
      <c r="S58" s="2"/>
      <c r="V58" s="131" t="s">
        <v>169</v>
      </c>
      <c r="W58" s="130" t="s">
        <v>195</v>
      </c>
      <c r="X58" s="129">
        <f t="shared" si="10"/>
        <v>1319.3</v>
      </c>
      <c r="Y58" s="129"/>
      <c r="Z58" s="129"/>
      <c r="AA58" s="119">
        <v>17.5</v>
      </c>
      <c r="AB58" s="129"/>
      <c r="AC58" s="129"/>
      <c r="AD58" s="129">
        <f t="shared" si="13"/>
        <v>1336.8</v>
      </c>
      <c r="AE58" s="129"/>
      <c r="AF58" s="119">
        <v>168</v>
      </c>
      <c r="AG58" s="129"/>
      <c r="AH58" s="129"/>
      <c r="AI58" s="119">
        <v>-2.4</v>
      </c>
      <c r="AJ58" s="119">
        <v>0</v>
      </c>
      <c r="AK58" s="119">
        <f t="shared" si="7"/>
        <v>165.6</v>
      </c>
      <c r="AL58" s="129"/>
      <c r="AM58" s="129"/>
      <c r="AN58" s="119">
        <v>0</v>
      </c>
      <c r="AO58" s="129"/>
      <c r="AP58" s="131" t="s">
        <v>169</v>
      </c>
      <c r="AQ58" s="130" t="s">
        <v>195</v>
      </c>
      <c r="AR58" s="119">
        <v>-53.2</v>
      </c>
      <c r="AS58" s="129"/>
      <c r="AT58" s="119"/>
      <c r="AU58" s="119">
        <f>(AS$56-AT$56)/4</f>
        <v>0</v>
      </c>
      <c r="AV58" s="129">
        <f t="shared" si="11"/>
        <v>-53.2</v>
      </c>
      <c r="AW58" s="129"/>
      <c r="AX58" s="129"/>
      <c r="AY58" s="129">
        <f t="shared" si="12"/>
        <v>1449.1999999999998</v>
      </c>
      <c r="AZ58" s="129"/>
      <c r="BA58" s="2"/>
      <c r="BB58" s="2"/>
    </row>
    <row r="59" spans="1:55">
      <c r="A59" s="131" t="s">
        <v>169</v>
      </c>
      <c r="B59" s="130" t="s">
        <v>194</v>
      </c>
      <c r="C59" s="119">
        <v>1698.4</v>
      </c>
      <c r="D59" s="119">
        <f>SUM(C59:C62)</f>
        <v>7791.8</v>
      </c>
      <c r="E59" s="129"/>
      <c r="F59" s="133">
        <f>(E$56-D$56)/4</f>
        <v>0</v>
      </c>
      <c r="G59" s="133">
        <f t="shared" si="8"/>
        <v>1698.4</v>
      </c>
      <c r="H59" s="129">
        <f>SUM(G59:G62)</f>
        <v>7763.7499999999991</v>
      </c>
      <c r="I59" s="129"/>
      <c r="J59" s="119">
        <v>619.6</v>
      </c>
      <c r="K59" s="119">
        <f>SUM(J59:J62)</f>
        <v>2272.6000000000004</v>
      </c>
      <c r="L59" s="129"/>
      <c r="M59" s="137">
        <f>(L$56-K$56)/4</f>
        <v>5.6843418860808015E-14</v>
      </c>
      <c r="N59" s="129">
        <f t="shared" si="9"/>
        <v>619.60000000000014</v>
      </c>
      <c r="O59" s="129">
        <f>SUM(N59:N62)</f>
        <v>2272.6750000000002</v>
      </c>
      <c r="P59" s="129"/>
      <c r="Q59" s="129">
        <v>0</v>
      </c>
      <c r="R59" s="129">
        <f>SUM(Q59:Q62)</f>
        <v>291.89999999999998</v>
      </c>
      <c r="S59" s="2"/>
      <c r="V59" s="131" t="s">
        <v>169</v>
      </c>
      <c r="W59" s="130" t="s">
        <v>194</v>
      </c>
      <c r="X59" s="129">
        <f t="shared" si="10"/>
        <v>1078.8</v>
      </c>
      <c r="Y59" s="129">
        <f>SUM(X59:X62)</f>
        <v>5199.1749999999993</v>
      </c>
      <c r="Z59" s="129"/>
      <c r="AA59" s="119">
        <v>17.5</v>
      </c>
      <c r="AB59" s="129">
        <f>SUM(AA59:AA62)</f>
        <v>70</v>
      </c>
      <c r="AC59" s="129"/>
      <c r="AD59" s="129">
        <f t="shared" si="13"/>
        <v>1096.3</v>
      </c>
      <c r="AE59" s="129">
        <f>Y59+AB59</f>
        <v>5269.1749999999993</v>
      </c>
      <c r="AF59" s="119">
        <v>230.5</v>
      </c>
      <c r="AG59" s="129">
        <f>SUM(AF59:AF62)</f>
        <v>940.6</v>
      </c>
      <c r="AH59" s="129"/>
      <c r="AI59" s="119">
        <f>-16.6+7.4</f>
        <v>-9.2000000000000011</v>
      </c>
      <c r="AJ59" s="119">
        <v>0</v>
      </c>
      <c r="AK59" s="119">
        <f t="shared" si="7"/>
        <v>221.3</v>
      </c>
      <c r="AL59" s="129">
        <f>SUM(AK59:AK62)</f>
        <v>931.4</v>
      </c>
      <c r="AM59" s="129"/>
      <c r="AN59" s="119">
        <v>92.1</v>
      </c>
      <c r="AO59" s="129">
        <f>SUM(AN59:AN62)</f>
        <v>397.7</v>
      </c>
      <c r="AP59" s="131" t="s">
        <v>169</v>
      </c>
      <c r="AQ59" s="130" t="s">
        <v>194</v>
      </c>
      <c r="AR59" s="119">
        <v>411</v>
      </c>
      <c r="AS59" s="129">
        <f>SUM(AR59:AR62)</f>
        <v>619.29999999999995</v>
      </c>
      <c r="AT59" s="119"/>
      <c r="AU59" s="119">
        <f>(AS$56-AT$56)/4</f>
        <v>0</v>
      </c>
      <c r="AV59" s="129">
        <f t="shared" si="11"/>
        <v>411</v>
      </c>
      <c r="AW59" s="129">
        <f>SUM(AV59:AV62)</f>
        <v>619.29999999999995</v>
      </c>
      <c r="AX59" s="129"/>
      <c r="AY59" s="129">
        <f t="shared" si="12"/>
        <v>1820.6999999999998</v>
      </c>
      <c r="AZ59" s="129">
        <f>SUM(AY59:AY62)</f>
        <v>7217.5749999999989</v>
      </c>
      <c r="BA59" s="2"/>
      <c r="BB59" s="2"/>
    </row>
    <row r="60" spans="1:55">
      <c r="A60" s="131" t="s">
        <v>193</v>
      </c>
      <c r="B60" s="130" t="s">
        <v>192</v>
      </c>
      <c r="C60" s="119">
        <v>1885.2</v>
      </c>
      <c r="D60" s="139">
        <f>SUM(C60:C63)</f>
        <v>8222.7000000000007</v>
      </c>
      <c r="E60" s="138">
        <v>8185.3</v>
      </c>
      <c r="F60" s="133">
        <f>(E$60-D$60)/4</f>
        <v>-9.3500000000001364</v>
      </c>
      <c r="G60" s="133">
        <f t="shared" si="8"/>
        <v>1875.85</v>
      </c>
      <c r="H60" s="119">
        <f>SUM(G60:G63)</f>
        <v>8185.2999999999984</v>
      </c>
      <c r="I60" s="129"/>
      <c r="J60" s="119">
        <v>404.2</v>
      </c>
      <c r="K60" s="119">
        <f>SUM(J60:J63)</f>
        <v>2494.6</v>
      </c>
      <c r="L60" s="129">
        <f>2254.5+240.2</f>
        <v>2494.6999999999998</v>
      </c>
      <c r="M60" s="137">
        <f>(L$60-K$60)/4</f>
        <v>2.4999999999977263E-2</v>
      </c>
      <c r="N60" s="129">
        <f t="shared" si="9"/>
        <v>404.22499999999997</v>
      </c>
      <c r="O60" s="119">
        <f>SUM(N60:N63)</f>
        <v>2494.6999999999998</v>
      </c>
      <c r="P60" s="119"/>
      <c r="Q60" s="119">
        <v>240</v>
      </c>
      <c r="R60" s="129">
        <f>SUM(Q60:Q63)</f>
        <v>299.2</v>
      </c>
      <c r="S60" s="2"/>
      <c r="V60" s="131" t="s">
        <v>193</v>
      </c>
      <c r="W60" s="130" t="s">
        <v>192</v>
      </c>
      <c r="X60" s="129">
        <f t="shared" si="10"/>
        <v>1231.625</v>
      </c>
      <c r="Y60" s="129">
        <f>SUM(X60:X63)</f>
        <v>5391.3999999999987</v>
      </c>
      <c r="Z60" s="129"/>
      <c r="AA60" s="119">
        <v>17.5</v>
      </c>
      <c r="AB60" s="129">
        <f>SUM(AA60:AA63)</f>
        <v>70</v>
      </c>
      <c r="AC60" s="129"/>
      <c r="AD60" s="129">
        <f t="shared" si="13"/>
        <v>1249.125</v>
      </c>
      <c r="AE60" s="129">
        <f>Y60+AB60</f>
        <v>5461.3999999999987</v>
      </c>
      <c r="AF60" s="119">
        <v>252.7</v>
      </c>
      <c r="AG60" s="119">
        <f>SUM(AF60:AF63)</f>
        <v>1064.9000000000001</v>
      </c>
      <c r="AH60" s="129">
        <v>1064.9000000000001</v>
      </c>
      <c r="AI60" s="129"/>
      <c r="AJ60" s="119">
        <v>0</v>
      </c>
      <c r="AK60" s="119">
        <f t="shared" ref="AK60:AK79" si="14">AF60+AJ60</f>
        <v>252.7</v>
      </c>
      <c r="AL60" s="129">
        <f>SUM(AK60:AK63)</f>
        <v>1064.9000000000001</v>
      </c>
      <c r="AM60" s="129"/>
      <c r="AN60" s="119">
        <v>150.1</v>
      </c>
      <c r="AO60" s="129">
        <f>SUM(AN60:AN63)</f>
        <v>1039.5999999999999</v>
      </c>
      <c r="AP60" s="131" t="s">
        <v>193</v>
      </c>
      <c r="AQ60" s="130" t="s">
        <v>192</v>
      </c>
      <c r="AR60" s="119">
        <v>158.30000000000001</v>
      </c>
      <c r="AS60" s="119">
        <f>SUM(AR60:AR63)</f>
        <v>426.20000000000005</v>
      </c>
      <c r="AT60" s="119">
        <v>426.2</v>
      </c>
      <c r="AU60" s="119">
        <f>(AS$60-AT$60)/4</f>
        <v>1.4210854715202004E-14</v>
      </c>
      <c r="AV60" s="129">
        <f t="shared" si="11"/>
        <v>158.30000000000001</v>
      </c>
      <c r="AW60" s="119">
        <f>SUM(AV60:AV63)</f>
        <v>426.19999999999993</v>
      </c>
      <c r="AX60" s="119"/>
      <c r="AY60" s="129">
        <f t="shared" si="12"/>
        <v>1810.2249999999999</v>
      </c>
      <c r="AZ60" s="134">
        <f>SUM(AY60:AY63)</f>
        <v>7992.0999999999985</v>
      </c>
      <c r="BA60" s="141"/>
      <c r="BB60" s="142"/>
    </row>
    <row r="61" spans="1:55">
      <c r="A61" s="131" t="s">
        <v>169</v>
      </c>
      <c r="B61" s="130" t="s">
        <v>191</v>
      </c>
      <c r="C61" s="119">
        <v>2078.5</v>
      </c>
      <c r="D61" s="119"/>
      <c r="E61" s="129"/>
      <c r="F61" s="133">
        <f>(E$60-D$60)/4</f>
        <v>-9.3500000000001364</v>
      </c>
      <c r="G61" s="133">
        <f t="shared" si="8"/>
        <v>2069.1499999999996</v>
      </c>
      <c r="H61" s="129"/>
      <c r="I61" s="129"/>
      <c r="J61" s="119">
        <v>610.1</v>
      </c>
      <c r="K61" s="129"/>
      <c r="L61" s="129"/>
      <c r="M61" s="137">
        <f>(L$60-K$60)/4</f>
        <v>2.4999999999977263E-2</v>
      </c>
      <c r="N61" s="129">
        <f t="shared" si="9"/>
        <v>610.125</v>
      </c>
      <c r="O61" s="129"/>
      <c r="P61" s="129"/>
      <c r="Q61" s="119">
        <v>42.7</v>
      </c>
      <c r="R61" s="129"/>
      <c r="S61" s="2"/>
      <c r="V61" s="131" t="s">
        <v>169</v>
      </c>
      <c r="W61" s="130" t="s">
        <v>191</v>
      </c>
      <c r="X61" s="129">
        <f t="shared" si="10"/>
        <v>1416.3249999999996</v>
      </c>
      <c r="Y61" s="129"/>
      <c r="Z61" s="129"/>
      <c r="AA61" s="119">
        <v>17.5</v>
      </c>
      <c r="AB61" s="129"/>
      <c r="AC61" s="129"/>
      <c r="AD61" s="129">
        <f t="shared" si="13"/>
        <v>1433.8249999999996</v>
      </c>
      <c r="AE61" s="129"/>
      <c r="AF61" s="119">
        <v>190.3</v>
      </c>
      <c r="AG61" s="129"/>
      <c r="AH61" s="129"/>
      <c r="AI61" s="129"/>
      <c r="AJ61" s="119">
        <v>0</v>
      </c>
      <c r="AK61" s="119">
        <f t="shared" si="14"/>
        <v>190.3</v>
      </c>
      <c r="AL61" s="129"/>
      <c r="AM61" s="129"/>
      <c r="AN61" s="119">
        <v>97.2</v>
      </c>
      <c r="AO61" s="129"/>
      <c r="AP61" s="131" t="s">
        <v>169</v>
      </c>
      <c r="AQ61" s="130" t="s">
        <v>191</v>
      </c>
      <c r="AR61" s="119">
        <v>-135.1</v>
      </c>
      <c r="AS61" s="129"/>
      <c r="AT61" s="119"/>
      <c r="AU61" s="119">
        <f>(AS$60-AT$60)/4</f>
        <v>1.4210854715202004E-14</v>
      </c>
      <c r="AV61" s="129">
        <f t="shared" si="11"/>
        <v>-135.10000000000002</v>
      </c>
      <c r="AW61" s="129"/>
      <c r="AX61" s="129"/>
      <c r="AY61" s="129">
        <f t="shared" si="12"/>
        <v>1586.2249999999995</v>
      </c>
      <c r="AZ61" s="129"/>
      <c r="BA61" s="141"/>
    </row>
    <row r="62" spans="1:55">
      <c r="A62" s="131" t="s">
        <v>169</v>
      </c>
      <c r="B62" s="130" t="s">
        <v>190</v>
      </c>
      <c r="C62" s="119">
        <v>2129.6999999999998</v>
      </c>
      <c r="D62" s="119"/>
      <c r="E62" s="129"/>
      <c r="F62" s="133">
        <f>(E$60-D$60)/4</f>
        <v>-9.3500000000001364</v>
      </c>
      <c r="G62" s="133">
        <f t="shared" si="8"/>
        <v>2120.3499999999995</v>
      </c>
      <c r="H62" s="129"/>
      <c r="I62" s="129"/>
      <c r="J62" s="119">
        <v>638.70000000000005</v>
      </c>
      <c r="K62" s="129"/>
      <c r="L62" s="129"/>
      <c r="M62" s="137">
        <f>(L$60-K$60)/4</f>
        <v>2.4999999999977263E-2</v>
      </c>
      <c r="N62" s="129">
        <f t="shared" si="9"/>
        <v>638.72500000000002</v>
      </c>
      <c r="O62" s="129"/>
      <c r="P62" s="129"/>
      <c r="Q62" s="119">
        <v>9.1999999999999993</v>
      </c>
      <c r="R62" s="129"/>
      <c r="S62" s="2"/>
      <c r="V62" s="131" t="s">
        <v>169</v>
      </c>
      <c r="W62" s="130" t="s">
        <v>190</v>
      </c>
      <c r="X62" s="129">
        <f t="shared" si="10"/>
        <v>1472.4249999999995</v>
      </c>
      <c r="Y62" s="129"/>
      <c r="Z62" s="129"/>
      <c r="AA62" s="119">
        <v>17.5</v>
      </c>
      <c r="AB62" s="129"/>
      <c r="AC62" s="129"/>
      <c r="AD62" s="129">
        <f t="shared" si="13"/>
        <v>1489.9249999999995</v>
      </c>
      <c r="AE62" s="129"/>
      <c r="AF62" s="119">
        <v>267.10000000000002</v>
      </c>
      <c r="AG62" s="129"/>
      <c r="AH62" s="129"/>
      <c r="AI62" s="129"/>
      <c r="AJ62" s="119">
        <v>0</v>
      </c>
      <c r="AK62" s="119">
        <f t="shared" si="14"/>
        <v>267.10000000000002</v>
      </c>
      <c r="AL62" s="129"/>
      <c r="AM62" s="129"/>
      <c r="AN62" s="119">
        <v>58.3</v>
      </c>
      <c r="AO62" s="129"/>
      <c r="AP62" s="131" t="s">
        <v>169</v>
      </c>
      <c r="AQ62" s="130" t="s">
        <v>190</v>
      </c>
      <c r="AR62" s="119">
        <v>185.1</v>
      </c>
      <c r="AS62" s="129"/>
      <c r="AT62" s="119"/>
      <c r="AU62" s="119">
        <f>(AS$60-AT$60)/4</f>
        <v>1.4210854715202004E-14</v>
      </c>
      <c r="AV62" s="129">
        <f t="shared" si="11"/>
        <v>185.09999999999997</v>
      </c>
      <c r="AW62" s="129"/>
      <c r="AX62" s="129"/>
      <c r="AY62" s="129">
        <f t="shared" si="12"/>
        <v>2000.4249999999995</v>
      </c>
      <c r="AZ62" s="129"/>
      <c r="BA62" s="141"/>
    </row>
    <row r="63" spans="1:55">
      <c r="A63" s="131" t="s">
        <v>169</v>
      </c>
      <c r="B63" s="130" t="s">
        <v>189</v>
      </c>
      <c r="C63" s="119">
        <v>2129.3000000000002</v>
      </c>
      <c r="D63" s="119">
        <f>SUM(C63:C66)</f>
        <v>9319.7999999999993</v>
      </c>
      <c r="E63" s="129"/>
      <c r="F63" s="133">
        <f>(E$60-D$60)/4</f>
        <v>-9.3500000000001364</v>
      </c>
      <c r="G63" s="133">
        <f t="shared" si="8"/>
        <v>2119.9499999999998</v>
      </c>
      <c r="H63" s="129">
        <f>SUM(G63:G66)</f>
        <v>9197.8750366210897</v>
      </c>
      <c r="I63" s="129"/>
      <c r="J63" s="119">
        <v>841.6</v>
      </c>
      <c r="K63" s="134">
        <f>SUM(J63:J66)</f>
        <v>2322.9</v>
      </c>
      <c r="L63" s="129"/>
      <c r="M63" s="137">
        <f>(L$60-K$60)/4</f>
        <v>2.4999999999977263E-2</v>
      </c>
      <c r="N63" s="129">
        <f t="shared" si="9"/>
        <v>841.625</v>
      </c>
      <c r="O63" s="129">
        <f>SUM(N63:N66)</f>
        <v>2470.6749999999997</v>
      </c>
      <c r="P63" s="129"/>
      <c r="Q63" s="119">
        <v>7.3</v>
      </c>
      <c r="R63" s="129">
        <f>SUM(Q63:Q66)</f>
        <v>323.10000000000008</v>
      </c>
      <c r="S63" s="2"/>
      <c r="V63" s="131" t="s">
        <v>169</v>
      </c>
      <c r="W63" s="130" t="s">
        <v>189</v>
      </c>
      <c r="X63" s="129">
        <f t="shared" si="10"/>
        <v>1271.0249999999999</v>
      </c>
      <c r="Y63" s="129">
        <f>SUM(X63:X66)</f>
        <v>6404.1000366210901</v>
      </c>
      <c r="Z63" s="129"/>
      <c r="AA63" s="119">
        <v>17.5</v>
      </c>
      <c r="AB63" s="129">
        <f>SUM(AA63:AA66)</f>
        <v>70</v>
      </c>
      <c r="AC63" s="129"/>
      <c r="AD63" s="129">
        <f t="shared" si="13"/>
        <v>1288.5249999999999</v>
      </c>
      <c r="AE63" s="129">
        <f>Y63+AB63</f>
        <v>6474.1000366210901</v>
      </c>
      <c r="AF63" s="119">
        <v>354.8</v>
      </c>
      <c r="AG63" s="129">
        <f>SUM(AF63:AF66)</f>
        <v>1006.85</v>
      </c>
      <c r="AH63" s="129"/>
      <c r="AI63" s="129"/>
      <c r="AJ63" s="119">
        <v>0</v>
      </c>
      <c r="AK63" s="119">
        <f t="shared" si="14"/>
        <v>354.8</v>
      </c>
      <c r="AL63" s="129">
        <f>SUM(AK63:AK66)</f>
        <v>1006.85</v>
      </c>
      <c r="AM63" s="129"/>
      <c r="AN63" s="119">
        <v>734</v>
      </c>
      <c r="AO63" s="129">
        <f>SUM(AN63:AN66)</f>
        <v>2477.1</v>
      </c>
      <c r="AP63" s="131" t="s">
        <v>169</v>
      </c>
      <c r="AQ63" s="130" t="s">
        <v>189</v>
      </c>
      <c r="AR63" s="119">
        <v>217.9</v>
      </c>
      <c r="AS63" s="129">
        <f>SUM(AR63:AR66)</f>
        <v>216.32499999999999</v>
      </c>
      <c r="AT63" s="119"/>
      <c r="AU63" s="119">
        <f>(AS$60-AT$60)/4</f>
        <v>1.4210854715202004E-14</v>
      </c>
      <c r="AV63" s="129">
        <f t="shared" si="11"/>
        <v>217.89999999999998</v>
      </c>
      <c r="AW63" s="129">
        <f>SUM(AV63:AV66)</f>
        <v>216.32499999999996</v>
      </c>
      <c r="AX63" s="129"/>
      <c r="AY63" s="129">
        <f t="shared" si="12"/>
        <v>2595.2249999999999</v>
      </c>
      <c r="AZ63" s="129">
        <f>SUM(AY63:AY66)</f>
        <v>10174.37503662109</v>
      </c>
      <c r="BA63" s="141"/>
    </row>
    <row r="64" spans="1:55">
      <c r="A64" s="131" t="s">
        <v>188</v>
      </c>
      <c r="B64" s="130" t="s">
        <v>187</v>
      </c>
      <c r="C64" s="119">
        <v>2113</v>
      </c>
      <c r="D64" s="119">
        <f>SUM(C64:C67)</f>
        <v>9654.1999511718805</v>
      </c>
      <c r="E64" s="129">
        <v>9504.1</v>
      </c>
      <c r="F64" s="133">
        <f>(E$64-D$64)/4</f>
        <v>-37.524987792970023</v>
      </c>
      <c r="G64" s="133">
        <f t="shared" si="8"/>
        <v>2075.47501220703</v>
      </c>
      <c r="H64" s="119">
        <f>SUM(G64:G67)</f>
        <v>9504.1</v>
      </c>
      <c r="I64" s="129"/>
      <c r="J64" s="129">
        <v>454.1</v>
      </c>
      <c r="K64" s="119">
        <f>SUM(J64:J67)</f>
        <v>1987.1</v>
      </c>
      <c r="L64" s="129">
        <v>2184.1</v>
      </c>
      <c r="M64" s="137">
        <f>(L$64-K$64)/4</f>
        <v>49.25</v>
      </c>
      <c r="N64" s="129">
        <f t="shared" si="9"/>
        <v>503.35</v>
      </c>
      <c r="O64" s="119">
        <f>SUM(N64:N67)</f>
        <v>2184.1000000000004</v>
      </c>
      <c r="P64" s="119"/>
      <c r="Q64" s="119">
        <v>290.60000000000002</v>
      </c>
      <c r="R64" s="129">
        <f>SUM(Q64:Q67)</f>
        <v>318.10000000000008</v>
      </c>
      <c r="S64" s="2"/>
      <c r="V64" s="131" t="s">
        <v>188</v>
      </c>
      <c r="W64" s="130" t="s">
        <v>187</v>
      </c>
      <c r="X64" s="129">
        <f t="shared" si="10"/>
        <v>1281.5250122070302</v>
      </c>
      <c r="Y64" s="129">
        <f>SUM(X64:X67)</f>
        <v>7001.9000000000005</v>
      </c>
      <c r="Z64" s="129"/>
      <c r="AA64" s="119">
        <v>17.5</v>
      </c>
      <c r="AB64" s="129">
        <f>SUM(AA64:AA67)</f>
        <v>70</v>
      </c>
      <c r="AC64" s="129"/>
      <c r="AD64" s="129">
        <f t="shared" si="13"/>
        <v>1299.0250122070302</v>
      </c>
      <c r="AE64" s="129">
        <f>Y64+AB64</f>
        <v>7071.9000000000005</v>
      </c>
      <c r="AF64" s="132">
        <f>AG$64/4</f>
        <v>217.35</v>
      </c>
      <c r="AG64" s="119">
        <v>869.4</v>
      </c>
      <c r="AH64" s="129"/>
      <c r="AI64" s="129"/>
      <c r="AJ64" s="119">
        <v>0</v>
      </c>
      <c r="AK64" s="119">
        <f t="shared" si="14"/>
        <v>217.35</v>
      </c>
      <c r="AL64" s="129">
        <f>SUM(AK64:AK67)</f>
        <v>869.4</v>
      </c>
      <c r="AM64" s="129"/>
      <c r="AN64" s="119">
        <v>423.5</v>
      </c>
      <c r="AO64" s="129">
        <f>SUM(AN64:AN67)</f>
        <v>2065.6999999999998</v>
      </c>
      <c r="AP64" s="131" t="s">
        <v>188</v>
      </c>
      <c r="AQ64" s="130" t="s">
        <v>187</v>
      </c>
      <c r="AR64" s="119">
        <f>AS$64/4</f>
        <v>-0.52500000000000002</v>
      </c>
      <c r="AS64" s="119">
        <f>AT64</f>
        <v>-2.1</v>
      </c>
      <c r="AT64" s="119">
        <v>-2.1</v>
      </c>
      <c r="AU64" s="119">
        <f>(AS$64-AT$64)/4</f>
        <v>0</v>
      </c>
      <c r="AV64" s="129">
        <f t="shared" si="11"/>
        <v>-0.52500000000000002</v>
      </c>
      <c r="AW64" s="119">
        <f>SUM(AV64:AV67)</f>
        <v>-2.1</v>
      </c>
      <c r="AX64" s="119"/>
      <c r="AY64" s="129">
        <f t="shared" si="12"/>
        <v>1939.35001220703</v>
      </c>
      <c r="AZ64" s="134">
        <f>SUM(AY64:AY67)</f>
        <v>10004.9</v>
      </c>
      <c r="BA64" s="2"/>
      <c r="BB64" s="2"/>
      <c r="BC64" s="2"/>
    </row>
    <row r="65" spans="1:55">
      <c r="A65" s="131" t="s">
        <v>169</v>
      </c>
      <c r="B65" s="130" t="s">
        <v>186</v>
      </c>
      <c r="C65" s="119">
        <v>2424.60009765625</v>
      </c>
      <c r="D65" s="119"/>
      <c r="E65" s="129"/>
      <c r="F65" s="133">
        <f>(E$64-D$64)/4</f>
        <v>-37.524987792970023</v>
      </c>
      <c r="G65" s="133">
        <f t="shared" si="8"/>
        <v>2387.07510986328</v>
      </c>
      <c r="H65" s="129"/>
      <c r="I65" s="129"/>
      <c r="J65" s="129">
        <v>526.29999999999995</v>
      </c>
      <c r="K65" s="129"/>
      <c r="L65" s="129"/>
      <c r="M65" s="137">
        <f>(L$64-K$64)/4</f>
        <v>49.25</v>
      </c>
      <c r="N65" s="129">
        <f t="shared" si="9"/>
        <v>575.54999999999995</v>
      </c>
      <c r="O65" s="129"/>
      <c r="P65" s="129"/>
      <c r="Q65" s="119">
        <v>18.100000000000001</v>
      </c>
      <c r="R65" s="129"/>
      <c r="S65" s="2"/>
      <c r="V65" s="131" t="s">
        <v>169</v>
      </c>
      <c r="W65" s="130" t="s">
        <v>186</v>
      </c>
      <c r="X65" s="129">
        <f t="shared" si="10"/>
        <v>1793.4251098632801</v>
      </c>
      <c r="Y65" s="129"/>
      <c r="Z65" s="129"/>
      <c r="AA65" s="119">
        <v>17.5</v>
      </c>
      <c r="AB65" s="129"/>
      <c r="AC65" s="129"/>
      <c r="AD65" s="129">
        <f t="shared" si="13"/>
        <v>1810.9251098632801</v>
      </c>
      <c r="AE65" s="129"/>
      <c r="AF65" s="132">
        <f>AG$64/4</f>
        <v>217.35</v>
      </c>
      <c r="AG65" s="129"/>
      <c r="AH65" s="129"/>
      <c r="AI65" s="129"/>
      <c r="AJ65" s="119">
        <v>0</v>
      </c>
      <c r="AK65" s="119">
        <f t="shared" si="14"/>
        <v>217.35</v>
      </c>
      <c r="AL65" s="129"/>
      <c r="AM65" s="129"/>
      <c r="AN65" s="119">
        <v>551.6</v>
      </c>
      <c r="AO65" s="129"/>
      <c r="AP65" s="131" t="s">
        <v>169</v>
      </c>
      <c r="AQ65" s="130" t="s">
        <v>186</v>
      </c>
      <c r="AR65" s="119">
        <f>AS$64/4</f>
        <v>-0.52500000000000002</v>
      </c>
      <c r="AS65" s="129"/>
      <c r="AT65" s="119"/>
      <c r="AU65" s="119">
        <f>(AS$64-AT$64)/4</f>
        <v>0</v>
      </c>
      <c r="AV65" s="129">
        <f t="shared" si="11"/>
        <v>-0.52500000000000002</v>
      </c>
      <c r="AW65" s="129"/>
      <c r="AX65" s="129"/>
      <c r="AY65" s="129">
        <f t="shared" si="12"/>
        <v>2579.3501098632801</v>
      </c>
      <c r="AZ65" s="140"/>
      <c r="BA65" s="2"/>
      <c r="BB65" s="2"/>
      <c r="BC65" s="2"/>
    </row>
    <row r="66" spans="1:55">
      <c r="A66" s="131" t="s">
        <v>169</v>
      </c>
      <c r="B66" s="130" t="s">
        <v>185</v>
      </c>
      <c r="C66" s="119">
        <v>2652.89990234375</v>
      </c>
      <c r="D66" s="119"/>
      <c r="E66" s="129"/>
      <c r="F66" s="133">
        <f>(E$64-D$64)/4</f>
        <v>-37.524987792970023</v>
      </c>
      <c r="G66" s="133">
        <f t="shared" si="8"/>
        <v>2615.37491455078</v>
      </c>
      <c r="H66" s="129"/>
      <c r="I66" s="129"/>
      <c r="J66" s="129">
        <v>500.9</v>
      </c>
      <c r="K66" s="129"/>
      <c r="L66" s="129"/>
      <c r="M66" s="137">
        <f>(L$64-K$64)/4</f>
        <v>49.25</v>
      </c>
      <c r="N66" s="129">
        <f t="shared" si="9"/>
        <v>550.15</v>
      </c>
      <c r="O66" s="129"/>
      <c r="P66" s="129"/>
      <c r="Q66" s="119">
        <v>7.1</v>
      </c>
      <c r="R66" s="129"/>
      <c r="S66" s="2"/>
      <c r="V66" s="131" t="s">
        <v>169</v>
      </c>
      <c r="W66" s="130" t="s">
        <v>185</v>
      </c>
      <c r="X66" s="129">
        <f t="shared" si="10"/>
        <v>2058.12491455078</v>
      </c>
      <c r="Y66" s="129"/>
      <c r="Z66" s="129"/>
      <c r="AA66" s="119">
        <v>17.5</v>
      </c>
      <c r="AB66" s="129"/>
      <c r="AC66" s="129"/>
      <c r="AD66" s="129">
        <f t="shared" si="13"/>
        <v>2075.62491455078</v>
      </c>
      <c r="AE66" s="129"/>
      <c r="AF66" s="132">
        <f>AG$64/4</f>
        <v>217.35</v>
      </c>
      <c r="AG66" s="129"/>
      <c r="AH66" s="129"/>
      <c r="AI66" s="129"/>
      <c r="AJ66" s="119">
        <v>0</v>
      </c>
      <c r="AK66" s="119">
        <f t="shared" si="14"/>
        <v>217.35</v>
      </c>
      <c r="AL66" s="129"/>
      <c r="AM66" s="129"/>
      <c r="AN66" s="119">
        <v>768</v>
      </c>
      <c r="AO66" s="129"/>
      <c r="AP66" s="131" t="s">
        <v>169</v>
      </c>
      <c r="AQ66" s="130" t="s">
        <v>185</v>
      </c>
      <c r="AR66" s="119">
        <f>AS$64/4</f>
        <v>-0.52500000000000002</v>
      </c>
      <c r="AS66" s="129"/>
      <c r="AT66" s="119"/>
      <c r="AU66" s="119">
        <f>(AS$64-AT$64)/4</f>
        <v>0</v>
      </c>
      <c r="AV66" s="129">
        <f t="shared" si="11"/>
        <v>-0.52500000000000002</v>
      </c>
      <c r="AW66" s="129"/>
      <c r="AX66" s="129"/>
      <c r="AY66" s="129">
        <f t="shared" si="12"/>
        <v>3060.4499145507798</v>
      </c>
      <c r="AZ66" s="129"/>
      <c r="BA66" s="2"/>
      <c r="BB66" s="2"/>
      <c r="BC66" s="2"/>
    </row>
    <row r="67" spans="1:55">
      <c r="A67" s="131" t="s">
        <v>169</v>
      </c>
      <c r="B67" s="130" t="s">
        <v>184</v>
      </c>
      <c r="C67" s="119">
        <v>2463.69995117188</v>
      </c>
      <c r="D67" s="119">
        <f>SUM(C67:C70)</f>
        <v>11048.280951171881</v>
      </c>
      <c r="E67" s="129"/>
      <c r="F67" s="133">
        <f>(E$64-D$64)/4</f>
        <v>-37.524987792970023</v>
      </c>
      <c r="G67" s="133">
        <f t="shared" si="8"/>
        <v>2426.17496337891</v>
      </c>
      <c r="H67" s="129">
        <f>SUM(G67:G70)</f>
        <v>10898.242463378909</v>
      </c>
      <c r="I67" s="129"/>
      <c r="J67" s="129">
        <v>505.8</v>
      </c>
      <c r="K67" s="119">
        <f>SUM(J67:J70)</f>
        <v>2065</v>
      </c>
      <c r="L67" s="129"/>
      <c r="M67" s="137">
        <f>(L$64-K$64)/4</f>
        <v>49.25</v>
      </c>
      <c r="N67" s="129">
        <f t="shared" si="9"/>
        <v>555.04999999999995</v>
      </c>
      <c r="O67" s="129">
        <f>SUM(N67:N70)</f>
        <v>2340.9749999999995</v>
      </c>
      <c r="P67" s="129"/>
      <c r="Q67" s="119">
        <v>2.2999999999999998</v>
      </c>
      <c r="R67" s="129">
        <f>SUM(Q67:Q70)</f>
        <v>328.33600000000001</v>
      </c>
      <c r="S67" s="2"/>
      <c r="V67" s="131" t="s">
        <v>169</v>
      </c>
      <c r="W67" s="130" t="s">
        <v>184</v>
      </c>
      <c r="X67" s="129">
        <f t="shared" si="10"/>
        <v>1868.8249633789101</v>
      </c>
      <c r="Y67" s="129">
        <f>SUM(X67:X70)</f>
        <v>8228.9314633789108</v>
      </c>
      <c r="Z67" s="129"/>
      <c r="AA67" s="119">
        <v>17.5</v>
      </c>
      <c r="AB67" s="129">
        <f>SUM(AA67:AA70)</f>
        <v>70</v>
      </c>
      <c r="AC67" s="129"/>
      <c r="AD67" s="129">
        <f t="shared" si="13"/>
        <v>1886.3249633789101</v>
      </c>
      <c r="AE67" s="129">
        <f>Y67+AB67</f>
        <v>8298.9314633789108</v>
      </c>
      <c r="AF67" s="132">
        <f>AG$64/4</f>
        <v>217.35</v>
      </c>
      <c r="AG67" s="129">
        <f>SUM(AF67:AF70)</f>
        <v>1428.9</v>
      </c>
      <c r="AH67" s="129"/>
      <c r="AI67" s="129"/>
      <c r="AJ67" s="119">
        <v>0</v>
      </c>
      <c r="AK67" s="119">
        <f t="shared" si="14"/>
        <v>217.35</v>
      </c>
      <c r="AL67" s="129">
        <f>SUM(AK67:AK70)</f>
        <v>1428.9</v>
      </c>
      <c r="AM67" s="129"/>
      <c r="AN67" s="119">
        <v>322.60000000000002</v>
      </c>
      <c r="AO67" s="129">
        <f>SUM(AN67:AN70)</f>
        <v>2367</v>
      </c>
      <c r="AP67" s="131" t="s">
        <v>169</v>
      </c>
      <c r="AQ67" s="130" t="s">
        <v>184</v>
      </c>
      <c r="AR67" s="119">
        <f>AS$64/4</f>
        <v>-0.52500000000000002</v>
      </c>
      <c r="AS67" s="129">
        <f>SUM(AR67:AR70)</f>
        <v>-182.124990844726</v>
      </c>
      <c r="AT67" s="119"/>
      <c r="AU67" s="119">
        <f>(AS$64-AT$64)/4</f>
        <v>0</v>
      </c>
      <c r="AV67" s="129">
        <f t="shared" si="11"/>
        <v>-0.52500000000000002</v>
      </c>
      <c r="AW67" s="129">
        <f>SUM(AV67:AV70)</f>
        <v>-182.12499828338613</v>
      </c>
      <c r="AX67" s="129"/>
      <c r="AY67" s="129">
        <f t="shared" si="12"/>
        <v>2425.7499633789098</v>
      </c>
      <c r="AZ67" s="129">
        <f>SUM(AY67:AY70)</f>
        <v>11912.706465095524</v>
      </c>
      <c r="BA67" s="2"/>
      <c r="BB67" s="2"/>
      <c r="BC67" s="2"/>
    </row>
    <row r="68" spans="1:55">
      <c r="A68" s="131" t="s">
        <v>183</v>
      </c>
      <c r="B68" s="130" t="s">
        <v>182</v>
      </c>
      <c r="C68" s="119">
        <v>2527.8539999999998</v>
      </c>
      <c r="D68" s="139">
        <f>SUM(C68:C71)</f>
        <v>11492.418</v>
      </c>
      <c r="E68" s="138">
        <v>11342.4</v>
      </c>
      <c r="F68" s="133">
        <f>(E$68-D$68)/4</f>
        <v>-37.504500000000007</v>
      </c>
      <c r="G68" s="133">
        <f t="shared" si="8"/>
        <v>2490.3494999999998</v>
      </c>
      <c r="H68" s="119">
        <f>SUM(G68:G71)</f>
        <v>11342.4</v>
      </c>
      <c r="I68" s="129"/>
      <c r="J68" s="129">
        <v>486.7</v>
      </c>
      <c r="K68" s="119">
        <f>SUM(J68:J71)</f>
        <v>2100.9</v>
      </c>
      <c r="L68" s="129">
        <v>2403.1999999999998</v>
      </c>
      <c r="M68" s="137">
        <f>(L$68-K$68)/4</f>
        <v>75.574999999999932</v>
      </c>
      <c r="N68" s="129">
        <f t="shared" si="9"/>
        <v>562.27499999999986</v>
      </c>
      <c r="O68" s="119">
        <f>SUM(N68:N71)</f>
        <v>2403.1999999999998</v>
      </c>
      <c r="P68" s="119"/>
      <c r="Q68" s="119">
        <v>292.52</v>
      </c>
      <c r="R68" s="129">
        <f>SUM(Q68:Q71)</f>
        <v>327.65899999999999</v>
      </c>
      <c r="S68" s="2"/>
      <c r="V68" s="131" t="s">
        <v>183</v>
      </c>
      <c r="W68" s="130" t="s">
        <v>182</v>
      </c>
      <c r="X68" s="129">
        <f t="shared" si="10"/>
        <v>1635.5545</v>
      </c>
      <c r="Y68" s="129">
        <f>SUM(X68:X71)</f>
        <v>8611.5409999999993</v>
      </c>
      <c r="Z68" s="129"/>
      <c r="AA68" s="119">
        <v>17.5</v>
      </c>
      <c r="AB68" s="129">
        <f>SUM(AA68:AA71)</f>
        <v>70</v>
      </c>
      <c r="AC68" s="129"/>
      <c r="AD68" s="129">
        <f t="shared" si="13"/>
        <v>1653.0545</v>
      </c>
      <c r="AE68" s="129">
        <f>Y68+AB68</f>
        <v>8681.5409999999993</v>
      </c>
      <c r="AF68" s="132">
        <f>AG$68/4</f>
        <v>403.85</v>
      </c>
      <c r="AG68" s="119">
        <v>1615.4</v>
      </c>
      <c r="AH68" s="129"/>
      <c r="AI68" s="129"/>
      <c r="AJ68" s="119">
        <v>0</v>
      </c>
      <c r="AK68" s="119">
        <f t="shared" si="14"/>
        <v>403.85</v>
      </c>
      <c r="AL68" s="129">
        <f>SUM(AK68:AK71)</f>
        <v>1615.4</v>
      </c>
      <c r="AM68" s="129"/>
      <c r="AN68" s="119">
        <v>101.1</v>
      </c>
      <c r="AO68" s="135">
        <f>SUM(AN68:AN71)</f>
        <v>3003.7999999999997</v>
      </c>
      <c r="AP68" s="131" t="s">
        <v>183</v>
      </c>
      <c r="AQ68" s="130" t="s">
        <v>182</v>
      </c>
      <c r="AR68" s="119">
        <v>104.90000152587901</v>
      </c>
      <c r="AS68" s="119">
        <f>SUM(AR68:AR71)</f>
        <v>-204.39999008178648</v>
      </c>
      <c r="AT68" s="119">
        <v>-204.4</v>
      </c>
      <c r="AU68" s="119">
        <f>(AS$68-AT$68)/4</f>
        <v>2.4795533803967373E-6</v>
      </c>
      <c r="AV68" s="129">
        <f t="shared" si="11"/>
        <v>104.89999904632563</v>
      </c>
      <c r="AW68" s="119">
        <f>SUM(AV68:AV71)</f>
        <v>-204.4</v>
      </c>
      <c r="AX68" s="119"/>
      <c r="AY68" s="129">
        <f t="shared" si="12"/>
        <v>2262.9044990463258</v>
      </c>
      <c r="AZ68" s="134">
        <f>SUM(AY68:AY71)</f>
        <v>13096.341</v>
      </c>
      <c r="BA68" s="2"/>
      <c r="BB68" s="2"/>
      <c r="BC68" s="2"/>
    </row>
    <row r="69" spans="1:55">
      <c r="A69" s="131" t="s">
        <v>169</v>
      </c>
      <c r="B69" s="130" t="s">
        <v>181</v>
      </c>
      <c r="C69" s="119">
        <v>2993.5549999999998</v>
      </c>
      <c r="D69" s="119"/>
      <c r="E69" s="129"/>
      <c r="F69" s="133">
        <f>(E$68-D$68)/4</f>
        <v>-37.504500000000007</v>
      </c>
      <c r="G69" s="133">
        <f t="shared" si="8"/>
        <v>2956.0504999999998</v>
      </c>
      <c r="H69" s="129"/>
      <c r="I69" s="129"/>
      <c r="J69" s="129">
        <v>532</v>
      </c>
      <c r="K69" s="129"/>
      <c r="L69" s="129"/>
      <c r="M69" s="137">
        <f>(L$68-K$68)/4</f>
        <v>75.574999999999932</v>
      </c>
      <c r="N69" s="129">
        <f t="shared" si="9"/>
        <v>607.57499999999993</v>
      </c>
      <c r="O69" s="129"/>
      <c r="P69" s="129"/>
      <c r="Q69" s="119">
        <v>30.387</v>
      </c>
      <c r="R69" s="129"/>
      <c r="S69" s="2"/>
      <c r="V69" s="131" t="s">
        <v>169</v>
      </c>
      <c r="W69" s="130" t="s">
        <v>181</v>
      </c>
      <c r="X69" s="129">
        <f t="shared" si="10"/>
        <v>2318.0884999999998</v>
      </c>
      <c r="Y69" s="129"/>
      <c r="Z69" s="129"/>
      <c r="AA69" s="119">
        <v>17.5</v>
      </c>
      <c r="AB69" s="129"/>
      <c r="AC69" s="129"/>
      <c r="AD69" s="129">
        <f t="shared" si="13"/>
        <v>2335.5884999999998</v>
      </c>
      <c r="AE69" s="129"/>
      <c r="AF69" s="132">
        <f>AG$68/4</f>
        <v>403.85</v>
      </c>
      <c r="AG69" s="129"/>
      <c r="AH69" s="129"/>
      <c r="AI69" s="129"/>
      <c r="AJ69" s="119">
        <v>0</v>
      </c>
      <c r="AK69" s="119">
        <f t="shared" si="14"/>
        <v>403.85</v>
      </c>
      <c r="AL69" s="129"/>
      <c r="AM69" s="129"/>
      <c r="AN69" s="119">
        <v>1188.5999999999999</v>
      </c>
      <c r="AO69" s="129"/>
      <c r="AP69" s="131" t="s">
        <v>169</v>
      </c>
      <c r="AQ69" s="130" t="s">
        <v>181</v>
      </c>
      <c r="AR69" s="119">
        <v>-114.59999847412099</v>
      </c>
      <c r="AS69" s="129"/>
      <c r="AT69" s="119"/>
      <c r="AU69" s="119">
        <f>(AS$68-AT$68)/4</f>
        <v>2.4795533803967373E-6</v>
      </c>
      <c r="AV69" s="129">
        <f t="shared" si="11"/>
        <v>-114.60000095367437</v>
      </c>
      <c r="AW69" s="129"/>
      <c r="AX69" s="129"/>
      <c r="AY69" s="129">
        <f t="shared" si="12"/>
        <v>3813.4384990463254</v>
      </c>
      <c r="AZ69" s="129"/>
      <c r="BA69" s="2"/>
      <c r="BB69" s="2"/>
      <c r="BC69" s="2"/>
    </row>
    <row r="70" spans="1:55">
      <c r="A70" s="131" t="s">
        <v>169</v>
      </c>
      <c r="B70" s="130" t="s">
        <v>180</v>
      </c>
      <c r="C70" s="119">
        <v>3063.172</v>
      </c>
      <c r="D70" s="119"/>
      <c r="E70" s="129"/>
      <c r="F70" s="133">
        <f>(E$68-D$68)/4</f>
        <v>-37.504500000000007</v>
      </c>
      <c r="G70" s="133">
        <f t="shared" si="8"/>
        <v>3025.6675</v>
      </c>
      <c r="H70" s="129"/>
      <c r="I70" s="129"/>
      <c r="J70" s="129">
        <v>540.5</v>
      </c>
      <c r="K70" s="129"/>
      <c r="L70" s="129"/>
      <c r="M70" s="137">
        <f>(L$68-K$68)/4</f>
        <v>75.574999999999932</v>
      </c>
      <c r="N70" s="129">
        <f t="shared" si="9"/>
        <v>616.07499999999993</v>
      </c>
      <c r="O70" s="129"/>
      <c r="P70" s="129"/>
      <c r="Q70" s="119">
        <v>3.129</v>
      </c>
      <c r="R70" s="129"/>
      <c r="S70" s="2"/>
      <c r="V70" s="131" t="s">
        <v>169</v>
      </c>
      <c r="W70" s="130" t="s">
        <v>180</v>
      </c>
      <c r="X70" s="129">
        <f t="shared" si="10"/>
        <v>2406.4635000000003</v>
      </c>
      <c r="Y70" s="129"/>
      <c r="Z70" s="129"/>
      <c r="AA70" s="119">
        <v>17.5</v>
      </c>
      <c r="AB70" s="129"/>
      <c r="AC70" s="129"/>
      <c r="AD70" s="129">
        <f t="shared" si="13"/>
        <v>2423.9635000000003</v>
      </c>
      <c r="AE70" s="129"/>
      <c r="AF70" s="132">
        <f>AG$68/4</f>
        <v>403.85</v>
      </c>
      <c r="AG70" s="129"/>
      <c r="AH70" s="129"/>
      <c r="AI70" s="129"/>
      <c r="AJ70" s="119">
        <v>0</v>
      </c>
      <c r="AK70" s="119">
        <f t="shared" si="14"/>
        <v>403.85</v>
      </c>
      <c r="AL70" s="129"/>
      <c r="AM70" s="129"/>
      <c r="AN70" s="119">
        <v>754.7</v>
      </c>
      <c r="AO70" s="129"/>
      <c r="AP70" s="131" t="s">
        <v>169</v>
      </c>
      <c r="AQ70" s="130" t="s">
        <v>180</v>
      </c>
      <c r="AR70" s="119">
        <v>-171.89999389648401</v>
      </c>
      <c r="AS70" s="129"/>
      <c r="AT70" s="119"/>
      <c r="AU70" s="119">
        <f>(AS$68-AT$68)/4</f>
        <v>2.4795533803967373E-6</v>
      </c>
      <c r="AV70" s="129">
        <f t="shared" si="11"/>
        <v>-171.89999637603739</v>
      </c>
      <c r="AW70" s="129"/>
      <c r="AX70" s="129"/>
      <c r="AY70" s="129">
        <f t="shared" si="12"/>
        <v>3410.6135036239625</v>
      </c>
      <c r="AZ70" s="129"/>
      <c r="BA70" s="2"/>
      <c r="BB70" s="2"/>
      <c r="BC70" s="2"/>
    </row>
    <row r="71" spans="1:55">
      <c r="A71" s="131" t="s">
        <v>169</v>
      </c>
      <c r="B71" s="130" t="s">
        <v>179</v>
      </c>
      <c r="C71" s="119">
        <v>2907.837</v>
      </c>
      <c r="D71" s="119">
        <f>SUM(C71:C74)</f>
        <v>13386.13704882813</v>
      </c>
      <c r="E71" s="129"/>
      <c r="F71" s="133">
        <f>(E$68-D$68)/4</f>
        <v>-37.504500000000007</v>
      </c>
      <c r="G71" s="133">
        <f t="shared" si="8"/>
        <v>2870.3325</v>
      </c>
      <c r="H71" s="129">
        <f>SUM(G71:G74)</f>
        <v>13198.557512207033</v>
      </c>
      <c r="I71" s="129"/>
      <c r="J71" s="129">
        <v>541.70000000000005</v>
      </c>
      <c r="K71" s="134">
        <f>SUM(J71:J74)</f>
        <v>2030.8</v>
      </c>
      <c r="L71" s="129"/>
      <c r="M71" s="137">
        <f>(L$68-K$68)/4</f>
        <v>75.574999999999932</v>
      </c>
      <c r="N71" s="129">
        <f t="shared" si="9"/>
        <v>617.27499999999998</v>
      </c>
      <c r="O71" s="129">
        <f>SUM(N71:N74)</f>
        <v>2285.3249999999998</v>
      </c>
      <c r="P71" s="129"/>
      <c r="Q71" s="119">
        <v>1.623</v>
      </c>
      <c r="R71" s="129">
        <f>SUM(Q71:Q74)</f>
        <v>342.02699999999999</v>
      </c>
      <c r="S71" s="2"/>
      <c r="V71" s="131" t="s">
        <v>169</v>
      </c>
      <c r="W71" s="130" t="s">
        <v>179</v>
      </c>
      <c r="X71" s="129">
        <f t="shared" si="10"/>
        <v>2251.4344999999998</v>
      </c>
      <c r="Y71" s="129">
        <f>SUM(X71:X74)</f>
        <v>10571.205512207032</v>
      </c>
      <c r="Z71" s="129"/>
      <c r="AA71" s="119">
        <v>17.5</v>
      </c>
      <c r="AB71" s="129">
        <f>SUM(AA71:AA74)</f>
        <v>120.85000000000001</v>
      </c>
      <c r="AC71" s="129"/>
      <c r="AD71" s="129">
        <f t="shared" si="13"/>
        <v>2268.9344999999998</v>
      </c>
      <c r="AE71" s="129">
        <f>Y71+AB71</f>
        <v>10692.055512207033</v>
      </c>
      <c r="AF71" s="132">
        <f>AG$68/4</f>
        <v>403.85</v>
      </c>
      <c r="AG71" s="129">
        <f>SUM(AF71:AF74)</f>
        <v>1887.2750000000001</v>
      </c>
      <c r="AH71" s="129"/>
      <c r="AI71" s="129"/>
      <c r="AJ71" s="119">
        <v>0</v>
      </c>
      <c r="AK71" s="119">
        <f t="shared" si="14"/>
        <v>403.85</v>
      </c>
      <c r="AL71" s="129">
        <f>SUM(AK71:AK74)</f>
        <v>1887.2750000000001</v>
      </c>
      <c r="AM71" s="129"/>
      <c r="AN71" s="119">
        <v>959.4</v>
      </c>
      <c r="AO71" s="129">
        <f>SUM(AN71:AN74)</f>
        <v>3089.5</v>
      </c>
      <c r="AP71" s="131" t="s">
        <v>169</v>
      </c>
      <c r="AQ71" s="130" t="s">
        <v>179</v>
      </c>
      <c r="AR71" s="119">
        <v>-22.799999237060501</v>
      </c>
      <c r="AS71" s="129">
        <f>SUM(AR71:AR74)</f>
        <v>-27.899997711181513</v>
      </c>
      <c r="AT71" s="119"/>
      <c r="AU71" s="119">
        <f>(AS$68-AT$68)/4</f>
        <v>2.4795533803967373E-6</v>
      </c>
      <c r="AV71" s="129">
        <f t="shared" si="11"/>
        <v>-22.800001716613881</v>
      </c>
      <c r="AW71" s="129">
        <f>SUM(AV71:AV74)</f>
        <v>-29.025001335144125</v>
      </c>
      <c r="AX71" s="129"/>
      <c r="AY71" s="129">
        <f t="shared" si="12"/>
        <v>3609.3844982833862</v>
      </c>
      <c r="AZ71" s="129">
        <f>SUM(AY71:AY74)</f>
        <v>15639.805510871887</v>
      </c>
      <c r="BA71" s="2"/>
      <c r="BB71" s="2"/>
      <c r="BC71" s="2"/>
    </row>
    <row r="72" spans="1:55">
      <c r="A72" s="131" t="s">
        <v>178</v>
      </c>
      <c r="B72" s="130" t="s">
        <v>177</v>
      </c>
      <c r="C72" s="119">
        <v>3077.5</v>
      </c>
      <c r="D72" s="119">
        <f>SUM(C72:C75)</f>
        <v>13964.30004882813</v>
      </c>
      <c r="E72" s="129">
        <v>13764.2</v>
      </c>
      <c r="F72" s="133">
        <f>(E$72-D$72)/4</f>
        <v>-50.025012207032432</v>
      </c>
      <c r="G72" s="133">
        <f t="shared" si="8"/>
        <v>3027.4749877929676</v>
      </c>
      <c r="H72" s="119">
        <f>SUM(G72:G75)</f>
        <v>13764.2</v>
      </c>
      <c r="I72" s="129"/>
      <c r="J72" s="119">
        <v>491.3</v>
      </c>
      <c r="K72" s="119">
        <f>SUM(J72:J75)</f>
        <v>2042.9</v>
      </c>
      <c r="L72" s="129">
        <v>2281.5</v>
      </c>
      <c r="M72" s="137">
        <f>(L$72-K$72)/4</f>
        <v>59.649999999999977</v>
      </c>
      <c r="N72" s="129">
        <f t="shared" si="9"/>
        <v>550.95000000000005</v>
      </c>
      <c r="O72" s="119">
        <f>SUM(N72:N75)</f>
        <v>2281.5</v>
      </c>
      <c r="P72" s="119"/>
      <c r="Q72" s="119">
        <v>299.65100000000001</v>
      </c>
      <c r="R72" s="129">
        <f>SUM(Q72:Q75)</f>
        <v>343.92500000000007</v>
      </c>
      <c r="S72" s="2"/>
      <c r="V72" s="131" t="s">
        <v>178</v>
      </c>
      <c r="W72" s="130" t="s">
        <v>177</v>
      </c>
      <c r="X72" s="129">
        <f t="shared" si="10"/>
        <v>2176.8739877929675</v>
      </c>
      <c r="Y72" s="129">
        <f>SUM(X72:X75)</f>
        <v>11138.775000000001</v>
      </c>
      <c r="Z72" s="129"/>
      <c r="AA72" s="119">
        <f>AB$72/4</f>
        <v>34.450000000000003</v>
      </c>
      <c r="AB72" s="129">
        <v>137.80000000000001</v>
      </c>
      <c r="AC72" s="129"/>
      <c r="AD72" s="129">
        <f t="shared" si="13"/>
        <v>2211.3239877929673</v>
      </c>
      <c r="AE72" s="129">
        <f>Y72+AB72</f>
        <v>11276.575000000001</v>
      </c>
      <c r="AF72" s="132">
        <f>AG$72/4</f>
        <v>494.47500000000002</v>
      </c>
      <c r="AG72" s="119">
        <v>1977.9</v>
      </c>
      <c r="AH72" s="129"/>
      <c r="AI72" s="129"/>
      <c r="AJ72" s="119">
        <v>0</v>
      </c>
      <c r="AK72" s="119">
        <f t="shared" si="14"/>
        <v>494.47500000000002</v>
      </c>
      <c r="AL72" s="129">
        <f>SUM(AK72:AK75)</f>
        <v>1977.9</v>
      </c>
      <c r="AM72" s="129"/>
      <c r="AN72" s="119">
        <v>808.9</v>
      </c>
      <c r="AO72" s="135">
        <f>SUM(AN72:AN75)</f>
        <v>3959.8999999999996</v>
      </c>
      <c r="AP72" s="131" t="s">
        <v>178</v>
      </c>
      <c r="AQ72" s="130" t="s">
        <v>177</v>
      </c>
      <c r="AR72" s="119">
        <v>-107.699996948242</v>
      </c>
      <c r="AS72" s="119">
        <f>SUM(AR72:AR75)</f>
        <v>-66.599998474121008</v>
      </c>
      <c r="AT72" s="119">
        <v>-68.099999999999994</v>
      </c>
      <c r="AU72" s="136">
        <f>(AS$72-AT$72)/4</f>
        <v>0.37500038146974646</v>
      </c>
      <c r="AV72" s="129">
        <f t="shared" si="11"/>
        <v>-108.07499732971175</v>
      </c>
      <c r="AW72" s="119">
        <f>SUM(AV72:AV75)</f>
        <v>-68.099999999999994</v>
      </c>
      <c r="AX72" s="119"/>
      <c r="AY72" s="129">
        <f t="shared" si="12"/>
        <v>3406.6239904632557</v>
      </c>
      <c r="AZ72" s="134">
        <f>SUM(AY72:AY75)</f>
        <v>17146.275000000001</v>
      </c>
      <c r="BA72" s="2"/>
      <c r="BB72" s="2"/>
      <c r="BC72" s="2"/>
    </row>
    <row r="73" spans="1:55">
      <c r="A73" s="131" t="s">
        <v>169</v>
      </c>
      <c r="B73" s="130" t="s">
        <v>176</v>
      </c>
      <c r="C73" s="119">
        <v>3712.5</v>
      </c>
      <c r="D73" s="119"/>
      <c r="E73" s="129"/>
      <c r="F73" s="133">
        <f>(E$72-D$72)/4</f>
        <v>-50.025012207032432</v>
      </c>
      <c r="G73" s="133">
        <f t="shared" si="8"/>
        <v>3662.4749877929676</v>
      </c>
      <c r="H73" s="129"/>
      <c r="I73" s="129"/>
      <c r="J73" s="119">
        <v>485.1</v>
      </c>
      <c r="K73" s="129"/>
      <c r="L73" s="129"/>
      <c r="M73" s="137">
        <f>(L$72-K$72)/4</f>
        <v>59.649999999999977</v>
      </c>
      <c r="N73" s="129">
        <f t="shared" si="9"/>
        <v>544.75</v>
      </c>
      <c r="O73" s="129"/>
      <c r="P73" s="129"/>
      <c r="Q73" s="119">
        <v>34.006</v>
      </c>
      <c r="R73" s="129"/>
      <c r="S73" s="2"/>
      <c r="V73" s="131" t="s">
        <v>169</v>
      </c>
      <c r="W73" s="130" t="s">
        <v>176</v>
      </c>
      <c r="X73" s="129">
        <f t="shared" si="10"/>
        <v>3083.7189877929677</v>
      </c>
      <c r="Y73" s="129"/>
      <c r="Z73" s="129"/>
      <c r="AA73" s="119">
        <f>AB$72/4</f>
        <v>34.450000000000003</v>
      </c>
      <c r="AB73" s="129"/>
      <c r="AC73" s="129"/>
      <c r="AD73" s="129">
        <f t="shared" si="13"/>
        <v>3118.1689877929675</v>
      </c>
      <c r="AE73" s="129"/>
      <c r="AF73" s="132">
        <f>AG$72/4</f>
        <v>494.47500000000002</v>
      </c>
      <c r="AG73" s="129"/>
      <c r="AH73" s="129"/>
      <c r="AI73" s="129"/>
      <c r="AJ73" s="119">
        <v>0</v>
      </c>
      <c r="AK73" s="119">
        <f t="shared" si="14"/>
        <v>494.47500000000002</v>
      </c>
      <c r="AL73" s="129"/>
      <c r="AM73" s="129"/>
      <c r="AN73" s="119">
        <v>1010.2</v>
      </c>
      <c r="AO73" s="129"/>
      <c r="AP73" s="131" t="s">
        <v>169</v>
      </c>
      <c r="AQ73" s="130" t="s">
        <v>176</v>
      </c>
      <c r="AR73" s="119">
        <v>82.599998474120994</v>
      </c>
      <c r="AS73" s="129"/>
      <c r="AT73" s="119"/>
      <c r="AU73" s="136">
        <f>(AS$72-AT$72)/4</f>
        <v>0.37500038146974646</v>
      </c>
      <c r="AV73" s="129">
        <f t="shared" si="11"/>
        <v>82.224998092651248</v>
      </c>
      <c r="AW73" s="129"/>
      <c r="AX73" s="129"/>
      <c r="AY73" s="129">
        <f t="shared" si="12"/>
        <v>4705.0689858856185</v>
      </c>
      <c r="AZ73" s="129"/>
      <c r="BA73" s="2"/>
      <c r="BB73" s="2"/>
      <c r="BC73" s="2"/>
    </row>
    <row r="74" spans="1:55">
      <c r="A74" s="131" t="s">
        <v>169</v>
      </c>
      <c r="B74" s="130" t="s">
        <v>175</v>
      </c>
      <c r="C74" s="119">
        <v>3688.30004882813</v>
      </c>
      <c r="D74" s="119"/>
      <c r="E74" s="129"/>
      <c r="F74" s="133">
        <f>(E$72-D$72)/4</f>
        <v>-50.025012207032432</v>
      </c>
      <c r="G74" s="133">
        <f t="shared" si="8"/>
        <v>3638.2750366210976</v>
      </c>
      <c r="H74" s="129"/>
      <c r="I74" s="129"/>
      <c r="J74" s="119">
        <v>512.70000000000005</v>
      </c>
      <c r="K74" s="129"/>
      <c r="L74" s="129"/>
      <c r="M74" s="137">
        <f>(L$72-K$72)/4</f>
        <v>59.649999999999977</v>
      </c>
      <c r="N74" s="129">
        <f t="shared" si="9"/>
        <v>572.35</v>
      </c>
      <c r="O74" s="129"/>
      <c r="P74" s="129"/>
      <c r="Q74" s="119">
        <v>6.7469999999999999</v>
      </c>
      <c r="R74" s="129"/>
      <c r="S74" s="2"/>
      <c r="V74" s="131" t="s">
        <v>169</v>
      </c>
      <c r="W74" s="130" t="s">
        <v>175</v>
      </c>
      <c r="X74" s="129">
        <f t="shared" si="10"/>
        <v>3059.1780366210978</v>
      </c>
      <c r="Y74" s="129"/>
      <c r="Z74" s="129"/>
      <c r="AA74" s="119">
        <f>AB$72/4</f>
        <v>34.450000000000003</v>
      </c>
      <c r="AB74" s="129"/>
      <c r="AC74" s="129"/>
      <c r="AD74" s="129">
        <f t="shared" si="13"/>
        <v>3093.6280366210976</v>
      </c>
      <c r="AE74" s="129"/>
      <c r="AF74" s="132">
        <f>AG$72/4</f>
        <v>494.47500000000002</v>
      </c>
      <c r="AG74" s="129"/>
      <c r="AH74" s="129"/>
      <c r="AI74" s="129"/>
      <c r="AJ74" s="119">
        <v>0</v>
      </c>
      <c r="AK74" s="119">
        <f t="shared" si="14"/>
        <v>494.47500000000002</v>
      </c>
      <c r="AL74" s="129"/>
      <c r="AM74" s="129"/>
      <c r="AN74" s="119">
        <v>311</v>
      </c>
      <c r="AO74" s="129"/>
      <c r="AP74" s="131" t="s">
        <v>169</v>
      </c>
      <c r="AQ74" s="130" t="s">
        <v>175</v>
      </c>
      <c r="AR74" s="119">
        <v>20</v>
      </c>
      <c r="AS74" s="129"/>
      <c r="AT74" s="119"/>
      <c r="AU74" s="136">
        <f>(AS$72-AT$72)/4</f>
        <v>0.37500038146974646</v>
      </c>
      <c r="AV74" s="129">
        <f t="shared" si="11"/>
        <v>19.624999618530254</v>
      </c>
      <c r="AW74" s="129"/>
      <c r="AX74" s="129"/>
      <c r="AY74" s="129">
        <f t="shared" si="12"/>
        <v>3918.7280362396277</v>
      </c>
      <c r="AZ74" s="129"/>
      <c r="BA74" s="2"/>
      <c r="BB74" s="2"/>
      <c r="BC74" s="2"/>
    </row>
    <row r="75" spans="1:55">
      <c r="A75" s="131" t="s">
        <v>169</v>
      </c>
      <c r="B75" s="130" t="s">
        <v>174</v>
      </c>
      <c r="C75" s="119">
        <v>3486</v>
      </c>
      <c r="D75" s="119">
        <f>SUM(C75:C78)</f>
        <v>16507.5</v>
      </c>
      <c r="E75" s="129"/>
      <c r="F75" s="133">
        <f>(E$72-D$72)/4</f>
        <v>-50.025012207032432</v>
      </c>
      <c r="G75" s="133">
        <f t="shared" si="8"/>
        <v>3435.9749877929676</v>
      </c>
      <c r="H75" s="129">
        <f>SUM(G75:G78)</f>
        <v>16681.349914550781</v>
      </c>
      <c r="I75" s="129"/>
      <c r="J75" s="119">
        <v>553.79999999999995</v>
      </c>
      <c r="K75" s="119">
        <f>SUM(J75:J78)</f>
        <v>2289</v>
      </c>
      <c r="L75" s="129"/>
      <c r="M75" s="137">
        <f>(L$72-K$72)/4</f>
        <v>59.649999999999977</v>
      </c>
      <c r="N75" s="129">
        <f t="shared" si="9"/>
        <v>613.44999999999993</v>
      </c>
      <c r="O75" s="129">
        <f>SUM(N75:N78)</f>
        <v>2348.65</v>
      </c>
      <c r="P75" s="129"/>
      <c r="Q75" s="119">
        <v>3.5209999999999999</v>
      </c>
      <c r="R75" s="129">
        <f>SUM(Q75:Q78)</f>
        <v>354.72098860359222</v>
      </c>
      <c r="S75" s="2"/>
      <c r="V75" s="131" t="s">
        <v>169</v>
      </c>
      <c r="W75" s="130" t="s">
        <v>174</v>
      </c>
      <c r="X75" s="129">
        <f t="shared" si="10"/>
        <v>2819.0039877929676</v>
      </c>
      <c r="Y75" s="129">
        <f>SUM(X75:X78)</f>
        <v>13977.978925947187</v>
      </c>
      <c r="Z75" s="129"/>
      <c r="AA75" s="119">
        <f>AB$72/4</f>
        <v>34.450000000000003</v>
      </c>
      <c r="AB75" s="129">
        <f>SUM(AA75:AA78)</f>
        <v>164.125</v>
      </c>
      <c r="AC75" s="129"/>
      <c r="AD75" s="129">
        <f t="shared" si="13"/>
        <v>2853.4539877929674</v>
      </c>
      <c r="AE75" s="129">
        <f>Y75+AB75</f>
        <v>14142.103925947187</v>
      </c>
      <c r="AF75" s="132">
        <f>AG$72/4</f>
        <v>494.47500000000002</v>
      </c>
      <c r="AG75" s="129">
        <f>SUM(AF75:AF78)</f>
        <v>2453.3250000000003</v>
      </c>
      <c r="AH75" s="129"/>
      <c r="AI75" s="129"/>
      <c r="AJ75" s="119">
        <v>0</v>
      </c>
      <c r="AK75" s="119">
        <f t="shared" si="14"/>
        <v>494.47500000000002</v>
      </c>
      <c r="AL75" s="129">
        <f>SUM(AK75:AK78)</f>
        <v>2453.3250000000003</v>
      </c>
      <c r="AM75" s="129"/>
      <c r="AN75" s="119">
        <v>1829.8</v>
      </c>
      <c r="AO75" s="129">
        <f>SUM(AN75:AN78)</f>
        <v>6818.6</v>
      </c>
      <c r="AP75" s="131" t="s">
        <v>169</v>
      </c>
      <c r="AQ75" s="130" t="s">
        <v>174</v>
      </c>
      <c r="AR75" s="119">
        <v>-61.5</v>
      </c>
      <c r="AS75" s="129">
        <f>SUM(AR75:AR78)</f>
        <v>2212.125</v>
      </c>
      <c r="AT75" s="119"/>
      <c r="AU75" s="136">
        <f>(AS$72-AT$72)/4</f>
        <v>0.37500038146974646</v>
      </c>
      <c r="AV75" s="129">
        <f t="shared" si="11"/>
        <v>-61.875000381469746</v>
      </c>
      <c r="AW75" s="129">
        <f>SUM(AV75:AV78)</f>
        <v>2211.7499996185302</v>
      </c>
      <c r="AX75" s="129"/>
      <c r="AY75" s="129">
        <f t="shared" si="12"/>
        <v>5115.8539874114977</v>
      </c>
      <c r="AZ75" s="135">
        <f>SUM(AY75:AY78)</f>
        <v>25625.778925565715</v>
      </c>
      <c r="BA75" s="2"/>
      <c r="BB75" s="2"/>
      <c r="BC75" s="2"/>
    </row>
    <row r="76" spans="1:55">
      <c r="A76" s="131" t="s">
        <v>173</v>
      </c>
      <c r="B76" s="130" t="s">
        <v>172</v>
      </c>
      <c r="C76" s="119">
        <v>3670.5</v>
      </c>
      <c r="D76" s="119">
        <f>SUM(C76:C79)</f>
        <v>17712.10009765625</v>
      </c>
      <c r="E76" s="129">
        <v>18010.599999999999</v>
      </c>
      <c r="F76" s="133">
        <f>(E$76-D$76)/4</f>
        <v>74.624975585937136</v>
      </c>
      <c r="G76" s="133">
        <f t="shared" si="8"/>
        <v>3745.1249755859371</v>
      </c>
      <c r="H76" s="119">
        <f>SUM(G76:G79)</f>
        <v>18010.599999999999</v>
      </c>
      <c r="I76" s="129"/>
      <c r="J76" s="119">
        <v>488.1</v>
      </c>
      <c r="K76" s="119">
        <f>SUM(J76:J79)</f>
        <v>2409.6999999999998</v>
      </c>
      <c r="L76" s="129">
        <f>2925.8-323.2-319.5+126.6</f>
        <v>2409.7000000000003</v>
      </c>
      <c r="M76" s="129">
        <v>0</v>
      </c>
      <c r="N76" s="129">
        <f t="shared" si="9"/>
        <v>488.1</v>
      </c>
      <c r="O76" s="119">
        <f>SUM(N76:N79)</f>
        <v>2409.6999999999998</v>
      </c>
      <c r="P76" s="129"/>
      <c r="Q76" s="119">
        <v>312.79998779296898</v>
      </c>
      <c r="R76" s="129">
        <f>SUM(Q76:Q79)</f>
        <v>357.6999886035922</v>
      </c>
      <c r="S76" s="2"/>
      <c r="V76" s="131" t="s">
        <v>173</v>
      </c>
      <c r="W76" s="130" t="s">
        <v>172</v>
      </c>
      <c r="X76" s="129">
        <f t="shared" si="10"/>
        <v>2944.224987792968</v>
      </c>
      <c r="Y76" s="129">
        <f>SUM(X76:X79)</f>
        <v>15243.200011396406</v>
      </c>
      <c r="Z76" s="129"/>
      <c r="AA76" s="119">
        <f>AB$76/4</f>
        <v>43.225000000000001</v>
      </c>
      <c r="AB76" s="129">
        <v>172.9</v>
      </c>
      <c r="AC76" s="129"/>
      <c r="AD76" s="129">
        <f t="shared" si="13"/>
        <v>2987.4499877929679</v>
      </c>
      <c r="AE76" s="129">
        <f>Y76+AB76</f>
        <v>15416.100011396406</v>
      </c>
      <c r="AF76" s="132">
        <f>AG$76/4</f>
        <v>652.95000000000005</v>
      </c>
      <c r="AG76" s="119">
        <f>2611.8</f>
        <v>2611.8000000000002</v>
      </c>
      <c r="AH76" s="129"/>
      <c r="AI76" s="129"/>
      <c r="AJ76" s="119">
        <v>0</v>
      </c>
      <c r="AK76" s="119">
        <f t="shared" si="14"/>
        <v>652.95000000000005</v>
      </c>
      <c r="AL76" s="129">
        <f>SUM(AK76:AK79)</f>
        <v>2611.8000000000002</v>
      </c>
      <c r="AM76" s="129"/>
      <c r="AN76" s="119">
        <v>2430.3000000000002</v>
      </c>
      <c r="AO76" s="135">
        <f>SUM(AN76:AN79)</f>
        <v>7534.3</v>
      </c>
      <c r="AP76" s="131" t="s">
        <v>173</v>
      </c>
      <c r="AQ76" s="130" t="s">
        <v>172</v>
      </c>
      <c r="AR76" s="119">
        <f>3031.5/4</f>
        <v>757.875</v>
      </c>
      <c r="AS76" s="119">
        <f>SUM(AR76:AR79)</f>
        <v>3031.5</v>
      </c>
      <c r="AT76" s="119">
        <v>3031.5</v>
      </c>
      <c r="AU76" s="119">
        <f>(AS$76-AT$76)/4</f>
        <v>0</v>
      </c>
      <c r="AV76" s="129">
        <f t="shared" si="11"/>
        <v>757.875</v>
      </c>
      <c r="AW76" s="119">
        <f>SUM(AV76:AV79)</f>
        <v>3031.5</v>
      </c>
      <c r="AX76" s="119"/>
      <c r="AY76" s="129">
        <f t="shared" si="12"/>
        <v>6828.5749877929684</v>
      </c>
      <c r="AZ76" s="134">
        <f>SUM(AY76:AY79)</f>
        <v>28593.700011396406</v>
      </c>
      <c r="BA76" s="2"/>
      <c r="BB76" s="2"/>
      <c r="BC76" s="2"/>
    </row>
    <row r="77" spans="1:55">
      <c r="A77" s="131" t="s">
        <v>169</v>
      </c>
      <c r="B77" s="130" t="s">
        <v>171</v>
      </c>
      <c r="C77" s="119">
        <v>4633.2001953125</v>
      </c>
      <c r="D77" s="119"/>
      <c r="E77" s="129"/>
      <c r="F77" s="133">
        <f>(E$76-D$76)/4</f>
        <v>74.624975585937136</v>
      </c>
      <c r="G77" s="133">
        <f t="shared" si="8"/>
        <v>4707.8251708984371</v>
      </c>
      <c r="H77" s="129"/>
      <c r="I77" s="129"/>
      <c r="J77" s="119">
        <v>422.7</v>
      </c>
      <c r="K77" s="129"/>
      <c r="L77" s="129"/>
      <c r="M77" s="129">
        <v>0</v>
      </c>
      <c r="N77" s="129">
        <f t="shared" si="9"/>
        <v>422.7</v>
      </c>
      <c r="O77" s="129"/>
      <c r="P77" s="129"/>
      <c r="Q77" s="119">
        <v>34.700000762939503</v>
      </c>
      <c r="R77" s="129"/>
      <c r="S77" s="2"/>
      <c r="V77" s="131" t="s">
        <v>169</v>
      </c>
      <c r="W77" s="130" t="s">
        <v>171</v>
      </c>
      <c r="X77" s="129">
        <f t="shared" si="10"/>
        <v>4250.4251701354979</v>
      </c>
      <c r="Y77" s="129"/>
      <c r="Z77" s="129"/>
      <c r="AA77" s="119">
        <f>AB$76/4</f>
        <v>43.225000000000001</v>
      </c>
      <c r="AB77" s="129"/>
      <c r="AC77" s="129"/>
      <c r="AD77" s="129">
        <f t="shared" si="13"/>
        <v>4293.6501701354982</v>
      </c>
      <c r="AE77" s="129"/>
      <c r="AF77" s="132">
        <f>AG$76/4</f>
        <v>652.95000000000005</v>
      </c>
      <c r="AG77" s="129"/>
      <c r="AH77" s="129"/>
      <c r="AI77" s="129"/>
      <c r="AJ77" s="119">
        <v>0</v>
      </c>
      <c r="AK77" s="119">
        <f t="shared" si="14"/>
        <v>652.95000000000005</v>
      </c>
      <c r="AL77" s="129"/>
      <c r="AM77" s="129"/>
      <c r="AN77" s="119">
        <v>13</v>
      </c>
      <c r="AO77" s="129"/>
      <c r="AP77" s="131" t="s">
        <v>169</v>
      </c>
      <c r="AQ77" s="130" t="s">
        <v>171</v>
      </c>
      <c r="AR77" s="119">
        <f>3031.5/4</f>
        <v>757.875</v>
      </c>
      <c r="AS77" s="129"/>
      <c r="AT77" s="119"/>
      <c r="AU77" s="119">
        <f>(AS$76-AT$76)/4</f>
        <v>0</v>
      </c>
      <c r="AV77" s="129">
        <f t="shared" si="11"/>
        <v>757.875</v>
      </c>
      <c r="AW77" s="129"/>
      <c r="AX77" s="129"/>
      <c r="AY77" s="129">
        <f t="shared" si="12"/>
        <v>5717.475170135498</v>
      </c>
      <c r="AZ77" s="129"/>
      <c r="BA77" s="2"/>
      <c r="BB77" s="2"/>
      <c r="BC77" s="2"/>
    </row>
    <row r="78" spans="1:55">
      <c r="A78" s="131" t="s">
        <v>169</v>
      </c>
      <c r="B78" s="130" t="s">
        <v>170</v>
      </c>
      <c r="C78" s="119">
        <v>4717.7998046875</v>
      </c>
      <c r="D78" s="119"/>
      <c r="E78" s="129"/>
      <c r="F78" s="133">
        <f>(E$76-D$76)/4</f>
        <v>74.624975585937136</v>
      </c>
      <c r="G78" s="133">
        <f t="shared" si="8"/>
        <v>4792.4247802734371</v>
      </c>
      <c r="H78" s="129"/>
      <c r="I78" s="129"/>
      <c r="J78" s="119">
        <v>824.4</v>
      </c>
      <c r="K78" s="129"/>
      <c r="L78" s="129"/>
      <c r="M78" s="129">
        <v>0</v>
      </c>
      <c r="N78" s="129">
        <f t="shared" si="9"/>
        <v>824.4</v>
      </c>
      <c r="O78" s="129"/>
      <c r="P78" s="129"/>
      <c r="Q78" s="119">
        <v>3.7000000476837198</v>
      </c>
      <c r="R78" s="129"/>
      <c r="S78" s="2"/>
      <c r="V78" s="131" t="s">
        <v>169</v>
      </c>
      <c r="W78" s="130" t="s">
        <v>170</v>
      </c>
      <c r="X78" s="129">
        <f t="shared" si="10"/>
        <v>3964.3247802257533</v>
      </c>
      <c r="Y78" s="129"/>
      <c r="Z78" s="129"/>
      <c r="AA78" s="119">
        <f>AB$76/4</f>
        <v>43.225000000000001</v>
      </c>
      <c r="AB78" s="129"/>
      <c r="AC78" s="129"/>
      <c r="AD78" s="129">
        <f t="shared" si="13"/>
        <v>4007.5497802257532</v>
      </c>
      <c r="AE78" s="129"/>
      <c r="AF78" s="132">
        <f>AG$76/4</f>
        <v>652.95000000000005</v>
      </c>
      <c r="AG78" s="129"/>
      <c r="AH78" s="129"/>
      <c r="AI78" s="129"/>
      <c r="AJ78" s="119">
        <v>0</v>
      </c>
      <c r="AK78" s="119">
        <f t="shared" si="14"/>
        <v>652.95000000000005</v>
      </c>
      <c r="AL78" s="129"/>
      <c r="AM78" s="129"/>
      <c r="AN78" s="119">
        <v>2545.5</v>
      </c>
      <c r="AO78" s="129"/>
      <c r="AP78" s="131" t="s">
        <v>169</v>
      </c>
      <c r="AQ78" s="130" t="s">
        <v>170</v>
      </c>
      <c r="AR78" s="119">
        <f>3031.5/4</f>
        <v>757.875</v>
      </c>
      <c r="AS78" s="129"/>
      <c r="AT78" s="119"/>
      <c r="AU78" s="119">
        <f>(AS$76-AT$76)/4</f>
        <v>0</v>
      </c>
      <c r="AV78" s="129">
        <f t="shared" si="11"/>
        <v>757.875</v>
      </c>
      <c r="AW78" s="129"/>
      <c r="AX78" s="129"/>
      <c r="AY78" s="129">
        <f t="shared" si="12"/>
        <v>7963.8747802257531</v>
      </c>
      <c r="AZ78" s="129"/>
      <c r="BA78" s="2"/>
      <c r="BB78" s="2"/>
      <c r="BC78" s="2"/>
    </row>
    <row r="79" spans="1:55">
      <c r="A79" s="131" t="s">
        <v>169</v>
      </c>
      <c r="B79" s="130" t="s">
        <v>168</v>
      </c>
      <c r="C79" s="119">
        <v>4690.60009765625</v>
      </c>
      <c r="D79" s="119"/>
      <c r="E79" s="129"/>
      <c r="F79" s="133">
        <f>(E$76-D$76)/4</f>
        <v>74.624975585937136</v>
      </c>
      <c r="G79" s="133">
        <f t="shared" si="8"/>
        <v>4765.2250732421871</v>
      </c>
      <c r="H79" s="129"/>
      <c r="I79" s="129"/>
      <c r="J79" s="119">
        <v>674.5</v>
      </c>
      <c r="K79" s="119"/>
      <c r="L79" s="129"/>
      <c r="M79" s="129">
        <v>0</v>
      </c>
      <c r="N79" s="129">
        <f t="shared" si="9"/>
        <v>674.5</v>
      </c>
      <c r="O79" s="129"/>
      <c r="P79" s="129"/>
      <c r="Q79" s="119">
        <v>6.5</v>
      </c>
      <c r="R79" s="129"/>
      <c r="S79" s="2"/>
      <c r="V79" s="131" t="s">
        <v>169</v>
      </c>
      <c r="W79" s="130" t="s">
        <v>168</v>
      </c>
      <c r="X79" s="129">
        <f t="shared" si="10"/>
        <v>4084.2250732421871</v>
      </c>
      <c r="Y79" s="129"/>
      <c r="Z79" s="129"/>
      <c r="AA79" s="119">
        <f>AB$76/4</f>
        <v>43.225000000000001</v>
      </c>
      <c r="AB79" s="129"/>
      <c r="AC79" s="129"/>
      <c r="AD79" s="129">
        <f t="shared" si="13"/>
        <v>4127.4500732421875</v>
      </c>
      <c r="AE79" s="129"/>
      <c r="AF79" s="132">
        <f>AG$76/4</f>
        <v>652.95000000000005</v>
      </c>
      <c r="AG79" s="129"/>
      <c r="AH79" s="129"/>
      <c r="AI79" s="129"/>
      <c r="AJ79" s="119">
        <v>0</v>
      </c>
      <c r="AK79" s="119">
        <f t="shared" si="14"/>
        <v>652.95000000000005</v>
      </c>
      <c r="AL79" s="129"/>
      <c r="AM79" s="129"/>
      <c r="AN79" s="119">
        <v>2545.5</v>
      </c>
      <c r="AO79" s="129"/>
      <c r="AP79" s="131" t="s">
        <v>169</v>
      </c>
      <c r="AQ79" s="130" t="s">
        <v>168</v>
      </c>
      <c r="AR79" s="119">
        <f>3031.5/4</f>
        <v>757.875</v>
      </c>
      <c r="AS79" s="129"/>
      <c r="AT79" s="119"/>
      <c r="AU79" s="119">
        <f>(AS$76-AT$76)/4</f>
        <v>0</v>
      </c>
      <c r="AV79" s="129">
        <f t="shared" si="11"/>
        <v>757.875</v>
      </c>
      <c r="AW79" s="129"/>
      <c r="AX79" s="129"/>
      <c r="AY79" s="129">
        <f t="shared" si="12"/>
        <v>8083.7750732421873</v>
      </c>
      <c r="AZ79" s="129"/>
      <c r="BA79" s="2"/>
      <c r="BB79" s="2"/>
      <c r="BC79" s="2"/>
    </row>
    <row r="80" spans="1:55" s="123" customFormat="1" ht="13" thickBot="1">
      <c r="A80" s="127"/>
      <c r="B80" s="127"/>
      <c r="C80" s="127"/>
      <c r="D80" s="127"/>
      <c r="E80" s="127"/>
      <c r="F80" s="128"/>
      <c r="G80" s="128"/>
      <c r="H80" s="127"/>
      <c r="I80" s="127"/>
      <c r="J80" s="127"/>
      <c r="K80" s="126"/>
      <c r="L80" s="127"/>
      <c r="M80" s="127"/>
      <c r="N80" s="127"/>
      <c r="O80" s="127"/>
      <c r="P80" s="127"/>
      <c r="Q80" s="127"/>
      <c r="R80" s="127"/>
      <c r="S80" s="2"/>
      <c r="T80" s="117"/>
      <c r="U80" s="2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6"/>
      <c r="AM80" s="126"/>
      <c r="AN80" s="127"/>
      <c r="AO80" s="127"/>
      <c r="AP80" s="127"/>
      <c r="AQ80" s="127"/>
      <c r="AR80" s="127"/>
      <c r="AS80" s="126"/>
      <c r="AT80" s="127"/>
      <c r="AU80" s="127"/>
      <c r="AV80" s="127"/>
      <c r="AW80" s="127"/>
      <c r="AX80" s="127"/>
      <c r="AY80" s="127"/>
      <c r="AZ80" s="126"/>
      <c r="BA80" s="125"/>
    </row>
    <row r="81" spans="1:56" ht="13" thickTop="1">
      <c r="S81" s="2"/>
      <c r="BB81" s="123"/>
      <c r="BC81" s="123"/>
      <c r="BD81" s="123"/>
    </row>
    <row r="82" spans="1:56">
      <c r="A82" s="119"/>
      <c r="E82" s="122"/>
      <c r="R82" s="124" t="s">
        <v>167</v>
      </c>
      <c r="S82" s="124"/>
      <c r="AO82" s="124" t="s">
        <v>167</v>
      </c>
      <c r="BB82" s="123"/>
      <c r="BC82" s="123"/>
      <c r="BD82" s="123"/>
    </row>
    <row r="83" spans="1:56">
      <c r="K83" s="120"/>
      <c r="L83" s="122"/>
    </row>
    <row r="84" spans="1:56">
      <c r="D84" s="121"/>
      <c r="K84" s="120"/>
      <c r="AL84" s="120"/>
      <c r="AM84" s="120"/>
      <c r="AS84" s="120"/>
      <c r="AZ84" s="120"/>
    </row>
    <row r="85" spans="1:56">
      <c r="D85" s="121"/>
    </row>
    <row r="86" spans="1:56">
      <c r="D86" s="121"/>
      <c r="F86" s="116"/>
    </row>
    <row r="87" spans="1:56">
      <c r="F87" s="116"/>
      <c r="K87" s="120"/>
    </row>
    <row r="88" spans="1:56">
      <c r="F88" s="116"/>
      <c r="K88" s="120"/>
      <c r="AS88" s="120"/>
      <c r="AZ88" s="120"/>
    </row>
    <row r="93" spans="1:56">
      <c r="A93" s="119"/>
    </row>
    <row r="94" spans="1:56">
      <c r="A94" s="119"/>
    </row>
    <row r="95" spans="1:56">
      <c r="A95" s="119"/>
    </row>
  </sheetData>
  <sheetProtection sheet="1" objects="1" scenarios="1"/>
  <printOptions horizontalCentered="1" verticalCentered="1"/>
  <pageMargins left="0.78740157480314965" right="0.78740157480314965" top="0" bottom="0.82677165354330717" header="0.51181102362204722" footer="0.51181102362204722"/>
  <pageSetup paperSize="9" scale="64" pageOrder="overThenDown" orientation="portrait" horizontalDpi="1200" verticalDpi="1200"/>
  <colBreaks count="2" manualBreakCount="2">
    <brk id="20" max="1048575" man="1"/>
    <brk id="4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K204"/>
  <sheetViews>
    <sheetView topLeftCell="A7" workbookViewId="0"/>
  </sheetViews>
  <sheetFormatPr baseColWidth="10" defaultColWidth="11.5" defaultRowHeight="12" x14ac:dyDescent="0"/>
  <cols>
    <col min="1" max="1" width="7.5" style="197" customWidth="1"/>
    <col min="2" max="2" width="7.33203125" style="197" customWidth="1"/>
    <col min="3" max="3" width="6.6640625" style="197" customWidth="1"/>
    <col min="4" max="4" width="8.5" style="197" customWidth="1"/>
    <col min="5" max="5" width="7.83203125" style="197" customWidth="1"/>
    <col min="6" max="6" width="8.1640625" style="197" customWidth="1"/>
    <col min="7" max="7" width="1.83203125" style="197" customWidth="1"/>
    <col min="8" max="8" width="8" style="197" customWidth="1"/>
    <col min="9" max="9" width="8.1640625" style="197" customWidth="1"/>
    <col min="10" max="10" width="2.6640625" style="197" customWidth="1"/>
    <col min="11" max="11" width="7" style="197" customWidth="1"/>
    <col min="12" max="12" width="7.1640625" style="197" customWidth="1"/>
    <col min="13" max="13" width="7.1640625" style="7" customWidth="1"/>
    <col min="14" max="14" width="6.5" style="197" customWidth="1"/>
    <col min="15" max="15" width="1.6640625" style="197" customWidth="1"/>
    <col min="16" max="16" width="8.83203125" style="7" customWidth="1"/>
    <col min="17" max="18" width="9.1640625" style="7" customWidth="1"/>
    <col min="19" max="19" width="8" style="197" customWidth="1"/>
    <col min="20" max="21" width="10.83203125" style="2" customWidth="1"/>
    <col min="22" max="16384" width="11.5" style="197"/>
  </cols>
  <sheetData>
    <row r="4" spans="1:37">
      <c r="A4" s="64" t="s">
        <v>348</v>
      </c>
      <c r="C4" s="52"/>
      <c r="D4" s="200"/>
      <c r="E4" s="200"/>
      <c r="F4" s="200"/>
      <c r="G4" s="200"/>
      <c r="H4" s="200"/>
      <c r="I4" s="200"/>
      <c r="J4" s="200"/>
      <c r="K4" s="200"/>
      <c r="L4" s="200"/>
      <c r="M4" s="201"/>
      <c r="N4" s="200"/>
      <c r="O4" s="200"/>
      <c r="P4" s="201"/>
      <c r="Q4" s="201"/>
      <c r="R4" s="201"/>
      <c r="S4" s="200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</row>
    <row r="5" spans="1:37" ht="9.75" customHeight="1">
      <c r="A5" s="64"/>
      <c r="C5" s="52"/>
      <c r="D5" s="200"/>
      <c r="E5" s="200"/>
      <c r="F5" s="200"/>
      <c r="G5" s="200"/>
      <c r="H5" s="200"/>
      <c r="I5" s="200"/>
      <c r="J5" s="200"/>
      <c r="K5" s="200"/>
      <c r="L5" s="200"/>
      <c r="M5" s="201"/>
      <c r="N5" s="200"/>
      <c r="O5" s="200"/>
      <c r="P5" s="201"/>
      <c r="Q5" s="201"/>
      <c r="R5" s="201"/>
      <c r="S5" s="200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</row>
    <row r="6" spans="1:37">
      <c r="A6" s="74" t="s">
        <v>347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1"/>
      <c r="N6" s="200"/>
      <c r="O6" s="200"/>
      <c r="P6" s="201"/>
      <c r="Q6" s="201"/>
      <c r="R6" s="201"/>
      <c r="S6" s="200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</row>
    <row r="7" spans="1:37" ht="10.5" customHeight="1" thickBot="1">
      <c r="A7" s="222"/>
      <c r="B7" s="222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21"/>
      <c r="N7" s="209"/>
      <c r="O7" s="209"/>
      <c r="P7" s="221"/>
      <c r="Q7" s="221"/>
      <c r="R7" s="221"/>
      <c r="S7" s="2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</row>
    <row r="8" spans="1:37" ht="10.5" customHeight="1" thickTop="1">
      <c r="C8" s="85"/>
      <c r="D8" s="85"/>
      <c r="E8" s="85" t="s">
        <v>346</v>
      </c>
      <c r="F8" s="85"/>
      <c r="G8" s="85"/>
      <c r="H8" s="85"/>
      <c r="I8" s="85"/>
      <c r="J8" s="85"/>
      <c r="K8" s="85"/>
      <c r="L8" s="85"/>
      <c r="M8" s="88"/>
      <c r="N8" s="85"/>
      <c r="O8" s="85"/>
      <c r="P8" s="88"/>
      <c r="Q8" s="88"/>
      <c r="R8" s="88"/>
      <c r="S8" s="2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</row>
    <row r="9" spans="1:37">
      <c r="C9" s="218" t="s">
        <v>345</v>
      </c>
      <c r="D9" s="220"/>
      <c r="E9" s="220"/>
      <c r="F9" s="220"/>
      <c r="G9" s="50"/>
      <c r="H9" s="218" t="s">
        <v>344</v>
      </c>
      <c r="I9" s="219"/>
      <c r="J9" s="85"/>
      <c r="K9" s="218" t="s">
        <v>343</v>
      </c>
      <c r="L9" s="217"/>
      <c r="M9" s="216"/>
      <c r="N9" s="216"/>
      <c r="O9" s="215"/>
      <c r="P9" s="214" t="s">
        <v>342</v>
      </c>
      <c r="Q9" s="213"/>
      <c r="R9" s="213"/>
      <c r="S9" s="2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</row>
    <row r="10" spans="1:37" s="211" customFormat="1">
      <c r="C10" s="85"/>
      <c r="D10" s="89"/>
      <c r="E10" s="212"/>
      <c r="F10" s="212"/>
      <c r="G10" s="212"/>
      <c r="H10" s="85"/>
      <c r="I10" s="85"/>
      <c r="J10" s="85"/>
      <c r="K10" s="85"/>
      <c r="L10" s="85"/>
      <c r="M10" s="88"/>
      <c r="N10" s="85"/>
      <c r="O10" s="85"/>
      <c r="P10" s="88"/>
      <c r="Q10" s="88"/>
      <c r="R10" s="85" t="s">
        <v>333</v>
      </c>
      <c r="S10" s="2"/>
      <c r="T10" s="2"/>
      <c r="U10" s="2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</row>
    <row r="11" spans="1:37">
      <c r="A11" s="176" t="s">
        <v>286</v>
      </c>
      <c r="B11" s="176" t="s">
        <v>285</v>
      </c>
      <c r="C11" s="85" t="s">
        <v>341</v>
      </c>
      <c r="D11" s="85" t="s">
        <v>340</v>
      </c>
      <c r="E11" s="85" t="s">
        <v>305</v>
      </c>
      <c r="F11" s="85" t="s">
        <v>339</v>
      </c>
      <c r="G11" s="85"/>
      <c r="H11" s="85" t="s">
        <v>338</v>
      </c>
      <c r="I11" s="50" t="s">
        <v>337</v>
      </c>
      <c r="J11" s="85"/>
      <c r="K11" s="85" t="s">
        <v>336</v>
      </c>
      <c r="L11" s="85" t="s">
        <v>335</v>
      </c>
      <c r="M11" s="88" t="s">
        <v>334</v>
      </c>
      <c r="N11" s="85" t="s">
        <v>333</v>
      </c>
      <c r="O11" s="85"/>
      <c r="P11" s="210" t="s">
        <v>332</v>
      </c>
      <c r="Q11" s="88" t="s">
        <v>331</v>
      </c>
      <c r="R11" s="85" t="s">
        <v>281</v>
      </c>
      <c r="S11" s="2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</row>
    <row r="12" spans="1:37" ht="13" thickBot="1">
      <c r="A12" s="171"/>
      <c r="B12" s="171"/>
      <c r="C12" s="209" t="s">
        <v>330</v>
      </c>
      <c r="D12" s="209" t="s">
        <v>329</v>
      </c>
      <c r="E12" s="209" t="s">
        <v>328</v>
      </c>
      <c r="F12" s="209" t="s">
        <v>327</v>
      </c>
      <c r="G12" s="209"/>
      <c r="H12" s="209" t="s">
        <v>326</v>
      </c>
      <c r="I12" s="209" t="s">
        <v>325</v>
      </c>
      <c r="J12" s="209"/>
      <c r="K12" s="209" t="s">
        <v>324</v>
      </c>
      <c r="L12" s="209" t="s">
        <v>323</v>
      </c>
      <c r="M12" s="209" t="s">
        <v>322</v>
      </c>
      <c r="N12" s="209" t="s">
        <v>321</v>
      </c>
      <c r="O12" s="209"/>
      <c r="P12" s="209" t="s">
        <v>320</v>
      </c>
      <c r="Q12" s="209" t="s">
        <v>319</v>
      </c>
      <c r="R12" s="209" t="s">
        <v>318</v>
      </c>
      <c r="S12" s="2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</row>
    <row r="13" spans="1:37" ht="15.5" customHeight="1" thickTop="1">
      <c r="A13" s="131" t="s">
        <v>169</v>
      </c>
      <c r="B13" s="130" t="s">
        <v>204</v>
      </c>
      <c r="C13" s="85">
        <v>0</v>
      </c>
      <c r="D13" s="85">
        <v>0</v>
      </c>
      <c r="E13" s="85">
        <v>0</v>
      </c>
      <c r="F13" s="85">
        <v>0</v>
      </c>
      <c r="G13" s="85"/>
      <c r="H13" s="85">
        <v>0</v>
      </c>
      <c r="I13" s="85">
        <v>0</v>
      </c>
      <c r="J13" s="85"/>
      <c r="K13" s="85"/>
      <c r="L13" s="85">
        <v>0</v>
      </c>
      <c r="M13" s="205">
        <v>0</v>
      </c>
      <c r="N13" s="205"/>
      <c r="O13" s="205"/>
      <c r="P13" s="205">
        <v>0</v>
      </c>
      <c r="Q13" s="205">
        <v>0</v>
      </c>
      <c r="R13" s="205"/>
      <c r="S13" s="2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</row>
    <row r="14" spans="1:37">
      <c r="A14" s="131" t="s">
        <v>203</v>
      </c>
      <c r="B14" s="130" t="s">
        <v>202</v>
      </c>
      <c r="C14" s="85">
        <v>0</v>
      </c>
      <c r="D14" s="85">
        <v>0</v>
      </c>
      <c r="E14" s="85">
        <v>0</v>
      </c>
      <c r="F14" s="85">
        <v>0</v>
      </c>
      <c r="G14" s="85"/>
      <c r="H14" s="85">
        <v>0</v>
      </c>
      <c r="I14" s="85">
        <v>0</v>
      </c>
      <c r="J14" s="85"/>
      <c r="K14" s="85"/>
      <c r="L14" s="85">
        <v>0</v>
      </c>
      <c r="M14" s="205">
        <v>0</v>
      </c>
      <c r="N14" s="205"/>
      <c r="O14" s="205"/>
      <c r="P14" s="205">
        <v>0</v>
      </c>
      <c r="Q14" s="205">
        <v>0</v>
      </c>
      <c r="R14" s="205"/>
      <c r="S14" s="2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</row>
    <row r="15" spans="1:37">
      <c r="A15" s="131" t="s">
        <v>169</v>
      </c>
      <c r="B15" s="130" t="s">
        <v>201</v>
      </c>
      <c r="C15" s="85">
        <v>0</v>
      </c>
      <c r="D15" s="85">
        <v>0</v>
      </c>
      <c r="E15" s="85">
        <v>0</v>
      </c>
      <c r="F15" s="85">
        <v>0</v>
      </c>
      <c r="G15" s="85"/>
      <c r="H15" s="85">
        <v>0</v>
      </c>
      <c r="I15" s="85">
        <v>0</v>
      </c>
      <c r="J15" s="85"/>
      <c r="K15" s="85"/>
      <c r="L15" s="85">
        <v>0</v>
      </c>
      <c r="M15" s="205">
        <v>0</v>
      </c>
      <c r="N15" s="205">
        <v>0</v>
      </c>
      <c r="O15" s="205"/>
      <c r="P15" s="205">
        <v>0</v>
      </c>
      <c r="Q15" s="205">
        <v>0</v>
      </c>
      <c r="R15" s="205"/>
      <c r="S15" s="2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</row>
    <row r="16" spans="1:37">
      <c r="A16" s="131" t="s">
        <v>169</v>
      </c>
      <c r="B16" s="130" t="s">
        <v>200</v>
      </c>
      <c r="C16" s="85">
        <v>0</v>
      </c>
      <c r="D16" s="85">
        <v>57</v>
      </c>
      <c r="E16" s="85"/>
      <c r="F16" s="85"/>
      <c r="G16" s="85"/>
      <c r="H16" s="85"/>
      <c r="I16" s="85">
        <v>0</v>
      </c>
      <c r="J16" s="85"/>
      <c r="K16" s="85"/>
      <c r="L16" s="85">
        <v>57</v>
      </c>
      <c r="M16" s="205">
        <v>57</v>
      </c>
      <c r="N16" s="205">
        <v>57</v>
      </c>
      <c r="O16" s="205"/>
      <c r="P16" s="205">
        <v>0</v>
      </c>
      <c r="Q16" s="205">
        <f t="shared" ref="Q16:Q41" si="0">M16-P16</f>
        <v>57</v>
      </c>
      <c r="R16" s="205">
        <f>Q16-Q13</f>
        <v>57</v>
      </c>
      <c r="S16" s="2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</row>
    <row r="17" spans="1:37">
      <c r="A17" s="131" t="s">
        <v>169</v>
      </c>
      <c r="B17" s="130" t="s">
        <v>199</v>
      </c>
      <c r="C17" s="85">
        <v>0</v>
      </c>
      <c r="D17" s="85">
        <v>154</v>
      </c>
      <c r="E17" s="85"/>
      <c r="F17" s="85"/>
      <c r="G17" s="85"/>
      <c r="H17" s="85"/>
      <c r="I17" s="85">
        <v>0</v>
      </c>
      <c r="J17" s="85"/>
      <c r="K17" s="85"/>
      <c r="L17" s="85">
        <v>154</v>
      </c>
      <c r="M17" s="205">
        <v>154</v>
      </c>
      <c r="N17" s="205"/>
      <c r="O17" s="205"/>
      <c r="P17" s="205">
        <v>0</v>
      </c>
      <c r="Q17" s="205">
        <f t="shared" si="0"/>
        <v>154</v>
      </c>
      <c r="R17" s="205">
        <f>Q17-Q14</f>
        <v>154</v>
      </c>
      <c r="S17" s="2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</row>
    <row r="18" spans="1:37">
      <c r="A18" s="131" t="s">
        <v>198</v>
      </c>
      <c r="B18" s="130" t="s">
        <v>197</v>
      </c>
      <c r="C18" s="85">
        <v>0</v>
      </c>
      <c r="D18" s="92">
        <v>200</v>
      </c>
      <c r="E18" s="85"/>
      <c r="F18" s="85"/>
      <c r="G18" s="85"/>
      <c r="H18" s="85"/>
      <c r="I18" s="85">
        <v>0</v>
      </c>
      <c r="J18" s="85"/>
      <c r="K18" s="85"/>
      <c r="L18" s="85">
        <v>200</v>
      </c>
      <c r="M18" s="83">
        <v>400</v>
      </c>
      <c r="N18" s="205" t="s">
        <v>132</v>
      </c>
      <c r="O18" s="205"/>
      <c r="P18" s="205">
        <v>0</v>
      </c>
      <c r="Q18" s="205">
        <f t="shared" si="0"/>
        <v>400</v>
      </c>
      <c r="R18" s="205"/>
      <c r="S18" s="2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</row>
    <row r="19" spans="1:37">
      <c r="A19" s="131" t="s">
        <v>169</v>
      </c>
      <c r="B19" s="130" t="s">
        <v>196</v>
      </c>
      <c r="C19" s="85">
        <v>0</v>
      </c>
      <c r="D19" s="92">
        <v>400</v>
      </c>
      <c r="E19" s="85"/>
      <c r="F19" s="85"/>
      <c r="G19" s="85"/>
      <c r="H19" s="85"/>
      <c r="I19" s="85">
        <v>0</v>
      </c>
      <c r="J19" s="85"/>
      <c r="K19" s="85"/>
      <c r="L19" s="85">
        <v>400</v>
      </c>
      <c r="M19" s="83">
        <v>700</v>
      </c>
      <c r="N19" s="205"/>
      <c r="O19" s="205"/>
      <c r="P19" s="205">
        <v>0</v>
      </c>
      <c r="Q19" s="205">
        <f t="shared" si="0"/>
        <v>700</v>
      </c>
      <c r="R19" s="205"/>
      <c r="S19" s="2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</row>
    <row r="20" spans="1:37">
      <c r="A20" s="131" t="s">
        <v>169</v>
      </c>
      <c r="B20" s="130" t="s">
        <v>195</v>
      </c>
      <c r="C20" s="85">
        <v>60</v>
      </c>
      <c r="D20" s="85">
        <v>652</v>
      </c>
      <c r="E20" s="85">
        <v>135</v>
      </c>
      <c r="F20" s="85"/>
      <c r="G20" s="85"/>
      <c r="H20" s="85"/>
      <c r="I20" s="85"/>
      <c r="J20" s="85"/>
      <c r="K20" s="85"/>
      <c r="L20" s="85">
        <v>712</v>
      </c>
      <c r="M20" s="205">
        <v>1078</v>
      </c>
      <c r="N20" s="205">
        <f>M20-M16</f>
        <v>1021</v>
      </c>
      <c r="O20" s="205"/>
      <c r="P20" s="205">
        <v>0</v>
      </c>
      <c r="Q20" s="205">
        <f t="shared" si="0"/>
        <v>1078</v>
      </c>
      <c r="R20" s="205">
        <f>Q20-Q16</f>
        <v>1021</v>
      </c>
      <c r="S20" s="204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</row>
    <row r="21" spans="1:37">
      <c r="A21" s="131" t="s">
        <v>169</v>
      </c>
      <c r="B21" s="130" t="s">
        <v>194</v>
      </c>
      <c r="C21" s="85">
        <v>166</v>
      </c>
      <c r="D21" s="85">
        <v>854</v>
      </c>
      <c r="E21" s="85">
        <v>240</v>
      </c>
      <c r="F21" s="85"/>
      <c r="G21" s="85"/>
      <c r="H21" s="85">
        <v>36</v>
      </c>
      <c r="I21" s="85"/>
      <c r="J21" s="85"/>
      <c r="K21" s="85">
        <v>1062</v>
      </c>
      <c r="L21" s="85">
        <v>1020</v>
      </c>
      <c r="M21" s="207">
        <v>1431</v>
      </c>
      <c r="N21" s="205">
        <f>M21-M17</f>
        <v>1277</v>
      </c>
      <c r="O21" s="205"/>
      <c r="P21" s="205">
        <v>0</v>
      </c>
      <c r="Q21" s="205">
        <f t="shared" si="0"/>
        <v>1431</v>
      </c>
      <c r="R21" s="205">
        <f>Q21-Q17</f>
        <v>1277</v>
      </c>
      <c r="S21" s="204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</row>
    <row r="22" spans="1:37">
      <c r="A22" s="131" t="s">
        <v>193</v>
      </c>
      <c r="B22" s="130" t="s">
        <v>192</v>
      </c>
      <c r="C22" s="85">
        <v>407</v>
      </c>
      <c r="D22" s="85">
        <v>1048</v>
      </c>
      <c r="E22" s="85">
        <v>387</v>
      </c>
      <c r="F22" s="85">
        <v>15</v>
      </c>
      <c r="G22" s="85"/>
      <c r="H22" s="85">
        <v>150</v>
      </c>
      <c r="I22" s="85"/>
      <c r="J22" s="85"/>
      <c r="K22" s="85"/>
      <c r="L22" s="85">
        <v>1455</v>
      </c>
      <c r="M22" s="205">
        <v>2182</v>
      </c>
      <c r="N22" s="205" t="s">
        <v>132</v>
      </c>
      <c r="O22" s="205"/>
      <c r="P22" s="205">
        <v>0</v>
      </c>
      <c r="Q22" s="205">
        <f t="shared" si="0"/>
        <v>2182</v>
      </c>
      <c r="R22" s="205"/>
      <c r="S22" s="204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</row>
    <row r="23" spans="1:37">
      <c r="A23" s="131" t="s">
        <v>169</v>
      </c>
      <c r="B23" s="130" t="s">
        <v>191</v>
      </c>
      <c r="C23" s="85">
        <v>824</v>
      </c>
      <c r="D23" s="85">
        <v>1183</v>
      </c>
      <c r="E23" s="85">
        <v>320</v>
      </c>
      <c r="F23" s="85">
        <v>119</v>
      </c>
      <c r="G23" s="85"/>
      <c r="H23" s="85">
        <v>224</v>
      </c>
      <c r="I23" s="85"/>
      <c r="J23" s="85"/>
      <c r="K23" s="85"/>
      <c r="L23" s="85">
        <v>2007</v>
      </c>
      <c r="M23" s="207">
        <v>3164</v>
      </c>
      <c r="N23" s="205" t="s">
        <v>132</v>
      </c>
      <c r="O23" s="205"/>
      <c r="P23" s="205">
        <v>0</v>
      </c>
      <c r="Q23" s="205">
        <f t="shared" si="0"/>
        <v>3164</v>
      </c>
      <c r="R23" s="205"/>
      <c r="S23" s="204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</row>
    <row r="24" spans="1:37">
      <c r="A24" s="131" t="s">
        <v>169</v>
      </c>
      <c r="B24" s="130" t="s">
        <v>190</v>
      </c>
      <c r="C24" s="85">
        <v>1412</v>
      </c>
      <c r="D24" s="85">
        <v>1276</v>
      </c>
      <c r="E24" s="85">
        <v>411</v>
      </c>
      <c r="F24" s="85">
        <v>248</v>
      </c>
      <c r="G24" s="85"/>
      <c r="H24" s="85">
        <v>297</v>
      </c>
      <c r="I24" s="85"/>
      <c r="J24" s="85"/>
      <c r="K24" s="85"/>
      <c r="L24" s="85">
        <v>2688</v>
      </c>
      <c r="M24" s="205">
        <v>3914</v>
      </c>
      <c r="N24" s="205">
        <f>M24-M20</f>
        <v>2836</v>
      </c>
      <c r="O24" s="205"/>
      <c r="P24" s="205">
        <v>66</v>
      </c>
      <c r="Q24" s="205">
        <f t="shared" si="0"/>
        <v>3848</v>
      </c>
      <c r="R24" s="205">
        <f>Q24-Q20</f>
        <v>2770</v>
      </c>
      <c r="S24" s="204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</row>
    <row r="25" spans="1:37">
      <c r="A25" s="131" t="s">
        <v>169</v>
      </c>
      <c r="B25" s="130" t="s">
        <v>189</v>
      </c>
      <c r="C25" s="85">
        <v>2145</v>
      </c>
      <c r="D25" s="85">
        <v>1307</v>
      </c>
      <c r="E25" s="85">
        <v>460</v>
      </c>
      <c r="F25" s="85">
        <v>346</v>
      </c>
      <c r="G25" s="85"/>
      <c r="H25" s="85">
        <v>253</v>
      </c>
      <c r="I25" s="85">
        <v>379</v>
      </c>
      <c r="J25" s="85"/>
      <c r="K25" s="85">
        <v>4084</v>
      </c>
      <c r="L25" s="85">
        <v>3452</v>
      </c>
      <c r="M25" s="207">
        <v>4369</v>
      </c>
      <c r="N25" s="205">
        <f>M25-M21</f>
        <v>2938</v>
      </c>
      <c r="O25" s="208"/>
      <c r="P25" s="205">
        <v>120</v>
      </c>
      <c r="Q25" s="205">
        <f t="shared" si="0"/>
        <v>4249</v>
      </c>
      <c r="R25" s="205">
        <f>Q25-Q21</f>
        <v>2818</v>
      </c>
      <c r="S25" s="204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</row>
    <row r="26" spans="1:37">
      <c r="A26" s="131" t="s">
        <v>188</v>
      </c>
      <c r="B26" s="130" t="s">
        <v>187</v>
      </c>
      <c r="C26" s="85"/>
      <c r="D26" s="85">
        <v>1206</v>
      </c>
      <c r="E26" s="85">
        <v>496</v>
      </c>
      <c r="F26" s="85">
        <v>475</v>
      </c>
      <c r="G26" s="85"/>
      <c r="H26" s="85">
        <v>254</v>
      </c>
      <c r="I26" s="85">
        <v>358</v>
      </c>
      <c r="J26" s="85"/>
      <c r="K26" s="85"/>
      <c r="L26" s="85"/>
      <c r="M26" s="205">
        <v>5172</v>
      </c>
      <c r="N26" s="208"/>
      <c r="O26" s="208"/>
      <c r="P26" s="205">
        <v>282</v>
      </c>
      <c r="Q26" s="205">
        <f t="shared" si="0"/>
        <v>4890</v>
      </c>
      <c r="R26" s="205"/>
      <c r="S26" s="204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</row>
    <row r="27" spans="1:37">
      <c r="A27" s="131" t="s">
        <v>169</v>
      </c>
      <c r="B27" s="130" t="s">
        <v>186</v>
      </c>
      <c r="C27" s="85"/>
      <c r="D27" s="85">
        <v>1041</v>
      </c>
      <c r="E27" s="85"/>
      <c r="F27" s="85" t="s">
        <v>133</v>
      </c>
      <c r="G27" s="85"/>
      <c r="H27" s="85">
        <v>230</v>
      </c>
      <c r="I27" s="85">
        <v>495</v>
      </c>
      <c r="J27" s="85"/>
      <c r="K27" s="85"/>
      <c r="L27" s="85"/>
      <c r="M27" s="207">
        <v>5975</v>
      </c>
      <c r="N27" s="208"/>
      <c r="O27" s="208"/>
      <c r="P27" s="83">
        <v>500</v>
      </c>
      <c r="Q27" s="205">
        <f t="shared" si="0"/>
        <v>5475</v>
      </c>
      <c r="R27" s="205"/>
      <c r="S27" s="204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</row>
    <row r="28" spans="1:37">
      <c r="A28" s="131" t="s">
        <v>169</v>
      </c>
      <c r="B28" s="130" t="s">
        <v>185</v>
      </c>
      <c r="C28" s="85"/>
      <c r="D28" s="85">
        <v>1022</v>
      </c>
      <c r="E28" s="85">
        <v>572</v>
      </c>
      <c r="F28" s="85">
        <v>780</v>
      </c>
      <c r="G28" s="85"/>
      <c r="H28" s="85"/>
      <c r="I28" s="85"/>
      <c r="J28" s="85"/>
      <c r="K28" s="85"/>
      <c r="L28" s="85"/>
      <c r="M28" s="205">
        <v>6571</v>
      </c>
      <c r="N28" s="205">
        <f>M28-M24</f>
        <v>2657</v>
      </c>
      <c r="O28" s="205"/>
      <c r="P28" s="205">
        <v>717</v>
      </c>
      <c r="Q28" s="205">
        <f t="shared" si="0"/>
        <v>5854</v>
      </c>
      <c r="R28" s="205">
        <f>Q28-Q24</f>
        <v>2006</v>
      </c>
      <c r="S28" s="204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</row>
    <row r="29" spans="1:37">
      <c r="A29" s="131" t="s">
        <v>169</v>
      </c>
      <c r="B29" s="130" t="s">
        <v>184</v>
      </c>
      <c r="C29" s="85">
        <v>4860</v>
      </c>
      <c r="D29" s="85">
        <v>1046</v>
      </c>
      <c r="E29" s="85">
        <v>341</v>
      </c>
      <c r="F29" s="85">
        <v>495</v>
      </c>
      <c r="G29" s="85"/>
      <c r="H29" s="85">
        <v>253</v>
      </c>
      <c r="I29" s="85">
        <v>495</v>
      </c>
      <c r="J29" s="85"/>
      <c r="K29" s="85">
        <v>7054</v>
      </c>
      <c r="L29" s="85">
        <v>5906</v>
      </c>
      <c r="M29" s="207">
        <v>7542</v>
      </c>
      <c r="N29" s="205">
        <f>M29-M25</f>
        <v>3173</v>
      </c>
      <c r="O29" s="205"/>
      <c r="P29" s="205">
        <v>838</v>
      </c>
      <c r="Q29" s="205">
        <f t="shared" si="0"/>
        <v>6704</v>
      </c>
      <c r="R29" s="205">
        <f>Q29-Q25</f>
        <v>2455</v>
      </c>
      <c r="S29" s="204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</row>
    <row r="30" spans="1:37">
      <c r="A30" s="131" t="s">
        <v>183</v>
      </c>
      <c r="B30" s="130" t="s">
        <v>182</v>
      </c>
      <c r="C30" s="85">
        <v>5991</v>
      </c>
      <c r="D30" s="85">
        <v>929</v>
      </c>
      <c r="E30" s="85">
        <v>247</v>
      </c>
      <c r="F30" s="85">
        <v>545</v>
      </c>
      <c r="G30" s="85"/>
      <c r="H30" s="85">
        <v>254</v>
      </c>
      <c r="I30" s="85">
        <v>545</v>
      </c>
      <c r="J30" s="85"/>
      <c r="K30" s="85">
        <v>7719</v>
      </c>
      <c r="L30" s="85">
        <v>6920</v>
      </c>
      <c r="M30" s="205">
        <v>8246</v>
      </c>
      <c r="N30" s="205" t="s">
        <v>317</v>
      </c>
      <c r="O30" s="205"/>
      <c r="P30" s="205">
        <v>898</v>
      </c>
      <c r="Q30" s="205">
        <f t="shared" si="0"/>
        <v>7348</v>
      </c>
      <c r="R30" s="205"/>
      <c r="S30" s="204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</row>
    <row r="31" spans="1:37">
      <c r="A31" s="131" t="s">
        <v>169</v>
      </c>
      <c r="B31" s="130" t="s">
        <v>181</v>
      </c>
      <c r="C31" s="85">
        <v>6240</v>
      </c>
      <c r="D31" s="85">
        <v>800</v>
      </c>
      <c r="E31" s="85">
        <v>70</v>
      </c>
      <c r="F31" s="85">
        <v>420</v>
      </c>
      <c r="G31" s="85"/>
      <c r="H31" s="85">
        <v>230</v>
      </c>
      <c r="I31" s="85">
        <v>700</v>
      </c>
      <c r="J31" s="85"/>
      <c r="K31" s="85"/>
      <c r="L31" s="85">
        <v>7040</v>
      </c>
      <c r="M31" s="205">
        <v>8542</v>
      </c>
      <c r="N31" s="205"/>
      <c r="O31" s="205"/>
      <c r="P31" s="205">
        <v>919</v>
      </c>
      <c r="Q31" s="205">
        <f t="shared" si="0"/>
        <v>7623</v>
      </c>
      <c r="R31" s="205"/>
      <c r="S31" s="204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</row>
    <row r="32" spans="1:37">
      <c r="A32" s="131" t="s">
        <v>169</v>
      </c>
      <c r="B32" s="130" t="s">
        <v>180</v>
      </c>
      <c r="C32" s="85"/>
      <c r="D32" s="85"/>
      <c r="E32" s="85">
        <v>66</v>
      </c>
      <c r="F32" s="85">
        <v>450</v>
      </c>
      <c r="G32" s="85"/>
      <c r="H32" s="85"/>
      <c r="I32" s="85"/>
      <c r="J32" s="85"/>
      <c r="K32" s="85"/>
      <c r="L32" s="93"/>
      <c r="M32" s="83">
        <v>9400</v>
      </c>
      <c r="N32" s="205">
        <f>M32-M28</f>
        <v>2829</v>
      </c>
      <c r="O32" s="205"/>
      <c r="P32" s="205">
        <v>1619</v>
      </c>
      <c r="Q32" s="205">
        <f t="shared" si="0"/>
        <v>7781</v>
      </c>
      <c r="R32" s="205">
        <f>Q32-Q28</f>
        <v>1927</v>
      </c>
      <c r="S32" s="204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</row>
    <row r="33" spans="1:37">
      <c r="A33" s="131" t="s">
        <v>169</v>
      </c>
      <c r="B33" s="130" t="s">
        <v>179</v>
      </c>
      <c r="C33" s="85">
        <v>9506</v>
      </c>
      <c r="D33" s="85">
        <v>718</v>
      </c>
      <c r="E33" s="85">
        <v>19</v>
      </c>
      <c r="F33" s="85">
        <v>450</v>
      </c>
      <c r="G33" s="85"/>
      <c r="H33" s="85"/>
      <c r="I33" s="85">
        <v>854</v>
      </c>
      <c r="J33" s="85"/>
      <c r="K33" s="85">
        <v>11078</v>
      </c>
      <c r="L33" s="85">
        <v>10223</v>
      </c>
      <c r="M33" s="83">
        <v>10893</v>
      </c>
      <c r="N33" s="205">
        <f>M33-M29</f>
        <v>3351</v>
      </c>
      <c r="O33" s="205"/>
      <c r="P33" s="205">
        <v>1105</v>
      </c>
      <c r="Q33" s="205">
        <f t="shared" si="0"/>
        <v>9788</v>
      </c>
      <c r="R33" s="205">
        <f>Q33-Q29</f>
        <v>3084</v>
      </c>
      <c r="S33" s="204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</row>
    <row r="34" spans="1:37">
      <c r="A34" s="131" t="s">
        <v>178</v>
      </c>
      <c r="B34" s="130" t="s">
        <v>177</v>
      </c>
      <c r="C34" s="85">
        <v>9814</v>
      </c>
      <c r="D34" s="92">
        <v>700</v>
      </c>
      <c r="E34" s="85"/>
      <c r="F34" s="92">
        <v>450</v>
      </c>
      <c r="G34" s="92"/>
      <c r="H34" s="92">
        <v>200</v>
      </c>
      <c r="I34" s="85"/>
      <c r="J34" s="85"/>
      <c r="K34" s="85">
        <v>11570</v>
      </c>
      <c r="L34" s="85"/>
      <c r="M34" s="83">
        <v>11164</v>
      </c>
      <c r="N34" s="205"/>
      <c r="O34" s="205"/>
      <c r="P34" s="205">
        <v>1535</v>
      </c>
      <c r="Q34" s="205">
        <f t="shared" si="0"/>
        <v>9629</v>
      </c>
      <c r="R34" s="205"/>
      <c r="S34" s="204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</row>
    <row r="35" spans="1:37">
      <c r="A35" s="131" t="s">
        <v>169</v>
      </c>
      <c r="B35" s="130" t="s">
        <v>176</v>
      </c>
      <c r="C35" s="85">
        <v>11077</v>
      </c>
      <c r="D35" s="92">
        <v>500</v>
      </c>
      <c r="E35" s="85"/>
      <c r="F35" s="92">
        <v>450</v>
      </c>
      <c r="G35" s="92"/>
      <c r="H35" s="92">
        <v>200</v>
      </c>
      <c r="I35" s="85"/>
      <c r="J35" s="85"/>
      <c r="K35" s="85"/>
      <c r="L35" s="85"/>
      <c r="M35" s="83">
        <v>12227</v>
      </c>
      <c r="N35" s="205"/>
      <c r="O35" s="205"/>
      <c r="P35" s="83">
        <v>1600</v>
      </c>
      <c r="Q35" s="205">
        <f t="shared" si="0"/>
        <v>10627</v>
      </c>
      <c r="R35" s="205"/>
      <c r="S35" s="204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</row>
    <row r="36" spans="1:37">
      <c r="A36" s="131" t="s">
        <v>169</v>
      </c>
      <c r="B36" s="130" t="s">
        <v>175</v>
      </c>
      <c r="C36" s="85">
        <v>12000</v>
      </c>
      <c r="D36" s="92">
        <v>400</v>
      </c>
      <c r="E36" s="85">
        <v>8</v>
      </c>
      <c r="F36" s="206">
        <v>320</v>
      </c>
      <c r="G36" s="206"/>
      <c r="H36" s="92">
        <v>200</v>
      </c>
      <c r="I36" s="85"/>
      <c r="J36" s="85"/>
      <c r="K36" s="85"/>
      <c r="L36" s="85"/>
      <c r="M36" s="83">
        <v>13050</v>
      </c>
      <c r="N36" s="205">
        <f>M36-M32</f>
        <v>3650</v>
      </c>
      <c r="O36" s="205"/>
      <c r="P36" s="83">
        <v>1650</v>
      </c>
      <c r="Q36" s="205">
        <f t="shared" si="0"/>
        <v>11400</v>
      </c>
      <c r="R36" s="205">
        <f>Q36-Q32</f>
        <v>3619</v>
      </c>
      <c r="S36" s="204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</row>
    <row r="37" spans="1:37">
      <c r="A37" s="131" t="s">
        <v>169</v>
      </c>
      <c r="B37" s="130" t="s">
        <v>174</v>
      </c>
      <c r="C37" s="85">
        <v>12000</v>
      </c>
      <c r="D37" s="85">
        <v>353</v>
      </c>
      <c r="E37" s="85"/>
      <c r="F37" s="85">
        <v>450</v>
      </c>
      <c r="G37" s="85"/>
      <c r="H37" s="85"/>
      <c r="I37" s="85">
        <v>405</v>
      </c>
      <c r="J37" s="85"/>
      <c r="K37" s="85">
        <v>13342</v>
      </c>
      <c r="L37" s="85">
        <v>12353</v>
      </c>
      <c r="M37" s="205">
        <v>13180</v>
      </c>
      <c r="N37" s="205">
        <f>M37-M33</f>
        <v>2287</v>
      </c>
      <c r="O37" s="205"/>
      <c r="P37" s="205">
        <v>1045</v>
      </c>
      <c r="Q37" s="205">
        <f t="shared" si="0"/>
        <v>12135</v>
      </c>
      <c r="R37" s="205">
        <f>Q37-Q33</f>
        <v>2347</v>
      </c>
      <c r="S37" s="204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</row>
    <row r="38" spans="1:37">
      <c r="A38" s="131" t="s">
        <v>173</v>
      </c>
      <c r="B38" s="130" t="s">
        <v>172</v>
      </c>
      <c r="C38" s="85">
        <v>11967</v>
      </c>
      <c r="D38" s="85">
        <v>221</v>
      </c>
      <c r="E38" s="85"/>
      <c r="F38" s="85">
        <v>450</v>
      </c>
      <c r="G38" s="85"/>
      <c r="H38" s="85"/>
      <c r="I38" s="85"/>
      <c r="J38" s="85"/>
      <c r="K38" s="85">
        <v>13227</v>
      </c>
      <c r="L38" s="85">
        <v>12188</v>
      </c>
      <c r="M38" s="205">
        <v>12980</v>
      </c>
      <c r="N38" s="205"/>
      <c r="O38" s="205"/>
      <c r="P38" s="205">
        <v>1390</v>
      </c>
      <c r="Q38" s="205">
        <f t="shared" si="0"/>
        <v>11590</v>
      </c>
      <c r="R38" s="205"/>
      <c r="S38" s="204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</row>
    <row r="39" spans="1:37">
      <c r="A39" s="131" t="s">
        <v>169</v>
      </c>
      <c r="B39" s="130" t="s">
        <v>171</v>
      </c>
      <c r="C39" s="85">
        <v>11936</v>
      </c>
      <c r="D39" s="85">
        <v>24</v>
      </c>
      <c r="E39" s="85"/>
      <c r="F39" s="85">
        <v>450</v>
      </c>
      <c r="G39" s="85"/>
      <c r="H39" s="85"/>
      <c r="I39" s="85"/>
      <c r="J39" s="85"/>
      <c r="K39" s="85">
        <v>13082</v>
      </c>
      <c r="L39" s="85">
        <v>11960</v>
      </c>
      <c r="M39" s="205">
        <v>12720</v>
      </c>
      <c r="N39" s="205"/>
      <c r="O39" s="205"/>
      <c r="P39" s="205">
        <v>201</v>
      </c>
      <c r="Q39" s="205">
        <f t="shared" si="0"/>
        <v>12519</v>
      </c>
      <c r="R39" s="205"/>
      <c r="S39" s="204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</row>
    <row r="40" spans="1:37">
      <c r="A40" s="131" t="s">
        <v>169</v>
      </c>
      <c r="B40" s="130" t="s">
        <v>170</v>
      </c>
      <c r="C40" s="85">
        <v>11933</v>
      </c>
      <c r="D40" s="85">
        <v>0</v>
      </c>
      <c r="E40" s="85">
        <v>8</v>
      </c>
      <c r="F40" s="85">
        <v>450</v>
      </c>
      <c r="G40" s="85"/>
      <c r="H40" s="85"/>
      <c r="I40" s="85"/>
      <c r="J40" s="85"/>
      <c r="K40" s="85">
        <v>13096</v>
      </c>
      <c r="L40" s="85">
        <v>11933</v>
      </c>
      <c r="M40" s="205">
        <v>12690</v>
      </c>
      <c r="N40" s="205">
        <f>M40-M36</f>
        <v>-360</v>
      </c>
      <c r="O40" s="205"/>
      <c r="P40" s="205">
        <v>11</v>
      </c>
      <c r="Q40" s="205">
        <f t="shared" si="0"/>
        <v>12679</v>
      </c>
      <c r="R40" s="205">
        <f>Q40-Q36</f>
        <v>1279</v>
      </c>
      <c r="S40" s="204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</row>
    <row r="41" spans="1:37">
      <c r="A41" s="131" t="s">
        <v>169</v>
      </c>
      <c r="B41" s="130" t="s">
        <v>168</v>
      </c>
      <c r="C41" s="85">
        <v>11933</v>
      </c>
      <c r="D41" s="85">
        <v>0</v>
      </c>
      <c r="E41" s="85">
        <v>0</v>
      </c>
      <c r="F41" s="92">
        <v>290</v>
      </c>
      <c r="G41" s="92"/>
      <c r="H41" s="85"/>
      <c r="I41" s="85"/>
      <c r="J41" s="85"/>
      <c r="K41" s="85">
        <v>13098</v>
      </c>
      <c r="L41" s="85">
        <v>11933</v>
      </c>
      <c r="M41" s="205">
        <v>12680</v>
      </c>
      <c r="N41" s="205">
        <f>M41-M37</f>
        <v>-500</v>
      </c>
      <c r="O41" s="205"/>
      <c r="P41" s="205">
        <v>0</v>
      </c>
      <c r="Q41" s="205">
        <f t="shared" si="0"/>
        <v>12680</v>
      </c>
      <c r="R41" s="205">
        <f>Q41-Q37</f>
        <v>545</v>
      </c>
      <c r="S41" s="204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</row>
    <row r="42" spans="1:37" ht="3.5" customHeight="1" thickBot="1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2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</row>
    <row r="43" spans="1:37" ht="13" thickTop="1">
      <c r="C43" s="200"/>
      <c r="D43" s="200"/>
      <c r="E43" s="200"/>
      <c r="F43" s="203"/>
      <c r="G43" s="203"/>
      <c r="H43" s="200"/>
      <c r="I43" s="200"/>
      <c r="J43" s="200"/>
      <c r="K43" s="200"/>
      <c r="L43" s="200"/>
      <c r="M43" s="201"/>
      <c r="N43" s="200"/>
      <c r="O43" s="200"/>
      <c r="P43" s="201"/>
      <c r="Q43" s="201"/>
      <c r="R43" s="201"/>
      <c r="S43" s="2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</row>
    <row r="44" spans="1:37">
      <c r="A44" s="202" t="s">
        <v>316</v>
      </c>
      <c r="C44" s="85"/>
      <c r="D44" s="85"/>
      <c r="E44" s="85"/>
      <c r="F44" s="85"/>
      <c r="G44" s="85"/>
      <c r="H44" s="85"/>
      <c r="I44" s="85"/>
      <c r="J44" s="85"/>
      <c r="K44" s="85"/>
      <c r="L44" s="200"/>
      <c r="M44" s="201"/>
      <c r="N44" s="200"/>
      <c r="O44" s="200"/>
      <c r="P44" s="201"/>
      <c r="Q44" s="201"/>
      <c r="R44" s="201"/>
      <c r="S44" s="2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</row>
    <row r="45" spans="1:37">
      <c r="C45" s="85"/>
      <c r="D45" s="85"/>
      <c r="E45" s="85"/>
      <c r="F45" s="85"/>
      <c r="G45" s="85"/>
      <c r="H45" s="85"/>
      <c r="I45" s="85"/>
      <c r="J45" s="85"/>
      <c r="K45" s="85"/>
      <c r="L45" s="200"/>
      <c r="M45" s="201"/>
      <c r="N45" s="200"/>
      <c r="O45" s="200"/>
      <c r="P45" s="201"/>
      <c r="Q45" s="201"/>
      <c r="R45" s="201"/>
      <c r="S45" s="200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</row>
    <row r="46" spans="1:37">
      <c r="C46" s="93"/>
      <c r="D46" s="52"/>
      <c r="E46" s="85"/>
      <c r="F46" s="85"/>
      <c r="G46" s="85"/>
      <c r="H46" s="85"/>
      <c r="I46" s="85"/>
      <c r="J46" s="85"/>
      <c r="K46" s="85"/>
      <c r="L46" s="200"/>
      <c r="M46" s="201"/>
      <c r="N46" s="200"/>
      <c r="O46" s="200"/>
      <c r="P46" s="201"/>
      <c r="Q46" s="201"/>
      <c r="R46" s="201"/>
      <c r="S46" s="200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</row>
    <row r="47" spans="1:37">
      <c r="C47" s="93"/>
      <c r="D47" s="93"/>
      <c r="E47" s="85"/>
      <c r="F47" s="85"/>
      <c r="G47" s="85"/>
      <c r="H47" s="85"/>
      <c r="I47" s="85"/>
      <c r="J47" s="85"/>
      <c r="K47" s="85"/>
      <c r="L47" s="200"/>
      <c r="M47" s="201"/>
      <c r="N47" s="200"/>
      <c r="O47" s="200"/>
      <c r="P47" s="201"/>
      <c r="Q47" s="201"/>
      <c r="R47" s="201"/>
      <c r="S47" s="200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</row>
    <row r="48" spans="1:37">
      <c r="C48" s="93"/>
      <c r="D48" s="93"/>
      <c r="E48" s="85"/>
      <c r="F48" s="85"/>
      <c r="G48" s="85"/>
      <c r="H48" s="85"/>
      <c r="I48" s="85"/>
      <c r="J48" s="85"/>
      <c r="K48" s="85"/>
      <c r="L48" s="200"/>
      <c r="M48" s="201"/>
      <c r="N48" s="200"/>
      <c r="O48" s="200"/>
      <c r="P48" s="201"/>
      <c r="Q48" s="201"/>
      <c r="R48" s="201"/>
      <c r="S48" s="200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</row>
    <row r="49" spans="3:37">
      <c r="C49" s="93"/>
      <c r="D49" s="93"/>
      <c r="E49" s="85"/>
      <c r="F49" s="85"/>
      <c r="G49" s="85"/>
      <c r="H49" s="85"/>
      <c r="I49" s="85"/>
      <c r="J49" s="85"/>
      <c r="K49" s="85"/>
      <c r="L49" s="200"/>
      <c r="M49" s="201"/>
      <c r="N49" s="200"/>
      <c r="O49" s="200"/>
      <c r="P49" s="201"/>
      <c r="Q49" s="201"/>
      <c r="R49" s="201"/>
      <c r="S49" s="200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</row>
    <row r="50" spans="3:37">
      <c r="C50" s="93"/>
      <c r="D50" s="93"/>
      <c r="E50" s="85"/>
      <c r="F50" s="85"/>
      <c r="G50" s="85"/>
      <c r="H50" s="85"/>
      <c r="I50" s="85"/>
      <c r="J50" s="85"/>
      <c r="K50" s="85"/>
      <c r="L50" s="200"/>
      <c r="M50" s="201"/>
      <c r="N50" s="200"/>
      <c r="O50" s="200"/>
      <c r="P50" s="201"/>
      <c r="Q50" s="201"/>
      <c r="R50" s="201"/>
      <c r="S50" s="200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</row>
    <row r="51" spans="3:37">
      <c r="C51" s="93"/>
      <c r="D51" s="93"/>
      <c r="E51" s="85"/>
      <c r="F51" s="85"/>
      <c r="G51" s="85"/>
      <c r="H51" s="85"/>
      <c r="I51" s="85"/>
      <c r="J51" s="85"/>
      <c r="K51" s="85"/>
      <c r="L51" s="200"/>
      <c r="M51" s="201"/>
      <c r="N51" s="200"/>
      <c r="O51" s="200"/>
      <c r="P51" s="201"/>
      <c r="Q51" s="201"/>
      <c r="R51" s="201"/>
      <c r="S51" s="200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</row>
    <row r="52" spans="3:37">
      <c r="C52" s="93"/>
      <c r="D52" s="93"/>
      <c r="E52" s="85"/>
      <c r="F52" s="85"/>
      <c r="G52" s="85"/>
      <c r="H52" s="85"/>
      <c r="I52" s="85"/>
      <c r="J52" s="85"/>
      <c r="K52" s="85"/>
      <c r="L52" s="200"/>
      <c r="M52" s="201"/>
      <c r="N52" s="200"/>
      <c r="O52" s="200"/>
      <c r="P52" s="201"/>
      <c r="Q52" s="201"/>
      <c r="R52" s="201"/>
      <c r="S52" s="200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</row>
    <row r="53" spans="3:37">
      <c r="C53" s="93"/>
      <c r="D53" s="93"/>
      <c r="E53" s="85"/>
      <c r="F53" s="85"/>
      <c r="G53" s="85"/>
      <c r="H53" s="85"/>
      <c r="I53" s="85"/>
      <c r="J53" s="85"/>
      <c r="K53" s="85"/>
      <c r="L53" s="200"/>
      <c r="M53" s="201"/>
      <c r="N53" s="200"/>
      <c r="O53" s="200"/>
      <c r="P53" s="201"/>
      <c r="Q53" s="201"/>
      <c r="R53" s="201"/>
      <c r="S53" s="200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</row>
    <row r="54" spans="3:37">
      <c r="C54" s="93"/>
      <c r="D54" s="93"/>
      <c r="E54" s="85"/>
      <c r="F54" s="85"/>
      <c r="G54" s="85"/>
      <c r="H54" s="85"/>
      <c r="I54" s="85"/>
      <c r="J54" s="85"/>
      <c r="K54" s="85"/>
      <c r="L54" s="200"/>
      <c r="M54" s="201"/>
      <c r="N54" s="200"/>
      <c r="O54" s="200"/>
      <c r="P54" s="201"/>
      <c r="Q54" s="201"/>
      <c r="R54" s="201"/>
      <c r="S54" s="200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</row>
    <row r="55" spans="3:37">
      <c r="C55" s="93"/>
      <c r="D55" s="93"/>
      <c r="E55" s="85"/>
      <c r="F55" s="85"/>
      <c r="G55" s="85"/>
      <c r="H55" s="85"/>
      <c r="I55" s="85"/>
      <c r="J55" s="85"/>
      <c r="K55" s="85"/>
      <c r="L55" s="200"/>
      <c r="M55" s="201"/>
      <c r="N55" s="200"/>
      <c r="O55" s="200"/>
      <c r="P55" s="201"/>
      <c r="Q55" s="201"/>
      <c r="R55" s="201"/>
      <c r="S55" s="200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</row>
    <row r="56" spans="3:37">
      <c r="C56" s="93"/>
      <c r="D56" s="93"/>
      <c r="E56" s="85"/>
      <c r="F56" s="85"/>
      <c r="G56" s="85"/>
      <c r="H56" s="85"/>
      <c r="I56" s="85"/>
      <c r="J56" s="85"/>
      <c r="K56" s="85"/>
      <c r="L56" s="200"/>
      <c r="M56" s="201"/>
      <c r="N56" s="200"/>
      <c r="O56" s="200"/>
      <c r="P56" s="201"/>
      <c r="Q56" s="201"/>
      <c r="R56" s="201"/>
      <c r="S56" s="200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</row>
    <row r="57" spans="3:37">
      <c r="C57" s="93"/>
      <c r="D57" s="93"/>
      <c r="E57" s="85"/>
      <c r="F57" s="85"/>
      <c r="G57" s="85"/>
      <c r="H57" s="85"/>
      <c r="I57" s="85"/>
      <c r="J57" s="85"/>
      <c r="K57" s="85"/>
      <c r="L57" s="200"/>
      <c r="M57" s="201"/>
      <c r="N57" s="200"/>
      <c r="O57" s="200"/>
      <c r="P57" s="201"/>
      <c r="Q57" s="201"/>
      <c r="R57" s="201"/>
      <c r="S57" s="200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</row>
    <row r="58" spans="3:37">
      <c r="C58" s="93"/>
      <c r="D58" s="93"/>
      <c r="E58" s="85"/>
      <c r="F58" s="85"/>
      <c r="G58" s="85"/>
      <c r="H58" s="85"/>
      <c r="I58" s="85"/>
      <c r="J58" s="85"/>
      <c r="K58" s="85"/>
      <c r="L58" s="200"/>
      <c r="M58" s="201"/>
      <c r="N58" s="200"/>
      <c r="O58" s="200"/>
      <c r="P58" s="201"/>
      <c r="Q58" s="201"/>
      <c r="R58" s="201"/>
      <c r="S58" s="200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</row>
    <row r="59" spans="3:37">
      <c r="C59" s="93"/>
      <c r="D59" s="93"/>
      <c r="E59" s="85"/>
      <c r="F59" s="85"/>
      <c r="G59" s="85"/>
      <c r="H59" s="85"/>
      <c r="I59" s="85"/>
      <c r="J59" s="85"/>
      <c r="K59" s="85"/>
      <c r="L59" s="200"/>
      <c r="M59" s="201"/>
      <c r="N59" s="200"/>
      <c r="O59" s="200"/>
      <c r="P59" s="201"/>
      <c r="Q59" s="201"/>
      <c r="R59" s="201"/>
      <c r="S59" s="200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</row>
    <row r="60" spans="3:37">
      <c r="C60" s="93"/>
      <c r="D60" s="93"/>
      <c r="E60" s="85"/>
      <c r="F60" s="85"/>
      <c r="G60" s="85"/>
      <c r="H60" s="85"/>
      <c r="I60" s="85"/>
      <c r="J60" s="85"/>
      <c r="K60" s="85"/>
      <c r="L60" s="200"/>
      <c r="M60" s="201"/>
      <c r="N60" s="200"/>
      <c r="O60" s="200"/>
      <c r="P60" s="201"/>
      <c r="Q60" s="201"/>
      <c r="R60" s="201"/>
      <c r="S60" s="200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</row>
    <row r="61" spans="3:37">
      <c r="C61" s="93"/>
      <c r="D61" s="93"/>
      <c r="E61" s="85"/>
      <c r="F61" s="85"/>
      <c r="G61" s="85"/>
      <c r="H61" s="85"/>
      <c r="I61" s="85"/>
      <c r="J61" s="85"/>
      <c r="K61" s="85"/>
      <c r="L61" s="200"/>
      <c r="M61" s="201"/>
      <c r="N61" s="200"/>
      <c r="O61" s="200"/>
      <c r="P61" s="201"/>
      <c r="Q61" s="201"/>
      <c r="R61" s="201"/>
      <c r="S61" s="200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</row>
    <row r="62" spans="3:37">
      <c r="C62" s="93"/>
      <c r="D62" s="93"/>
      <c r="E62" s="85"/>
      <c r="F62" s="85"/>
      <c r="G62" s="85"/>
      <c r="H62" s="85"/>
      <c r="I62" s="85"/>
      <c r="J62" s="85"/>
      <c r="K62" s="85"/>
      <c r="L62" s="200"/>
      <c r="M62" s="201"/>
      <c r="N62" s="200"/>
      <c r="O62" s="200"/>
      <c r="P62" s="201"/>
      <c r="Q62" s="201"/>
      <c r="R62" s="201"/>
      <c r="S62" s="200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</row>
    <row r="63" spans="3:37">
      <c r="C63" s="93"/>
      <c r="D63" s="93"/>
      <c r="E63" s="85"/>
      <c r="F63" s="85"/>
      <c r="G63" s="85"/>
      <c r="H63" s="85"/>
      <c r="I63" s="85"/>
      <c r="J63" s="85"/>
      <c r="K63" s="85"/>
      <c r="L63" s="200"/>
      <c r="M63" s="201"/>
      <c r="N63" s="200"/>
      <c r="O63" s="200"/>
      <c r="P63" s="201"/>
      <c r="Q63" s="201"/>
      <c r="R63" s="201"/>
      <c r="S63" s="200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</row>
    <row r="64" spans="3:37">
      <c r="C64" s="93"/>
      <c r="D64" s="93"/>
      <c r="E64" s="85"/>
      <c r="F64" s="85"/>
      <c r="G64" s="85"/>
      <c r="H64" s="85"/>
      <c r="I64" s="85"/>
      <c r="J64" s="85"/>
      <c r="K64" s="85"/>
      <c r="L64" s="200"/>
      <c r="M64" s="201"/>
      <c r="N64" s="200"/>
      <c r="O64" s="200"/>
      <c r="P64" s="201"/>
      <c r="Q64" s="201"/>
      <c r="R64" s="201"/>
      <c r="S64" s="200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</row>
    <row r="65" spans="3:37">
      <c r="C65" s="93"/>
      <c r="D65" s="93"/>
      <c r="E65" s="85"/>
      <c r="F65" s="85"/>
      <c r="G65" s="85"/>
      <c r="H65" s="85"/>
      <c r="I65" s="85"/>
      <c r="J65" s="85"/>
      <c r="K65" s="85"/>
      <c r="L65" s="200"/>
      <c r="M65" s="201"/>
      <c r="N65" s="200"/>
      <c r="O65" s="200"/>
      <c r="P65" s="201"/>
      <c r="Q65" s="201"/>
      <c r="R65" s="201"/>
      <c r="S65" s="200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</row>
    <row r="66" spans="3:37">
      <c r="C66" s="93"/>
      <c r="D66" s="93"/>
      <c r="E66" s="85"/>
      <c r="F66" s="85"/>
      <c r="G66" s="85"/>
      <c r="H66" s="85"/>
      <c r="I66" s="85"/>
      <c r="J66" s="85"/>
      <c r="K66" s="85"/>
      <c r="L66" s="200"/>
      <c r="M66" s="201"/>
      <c r="N66" s="200"/>
      <c r="O66" s="200"/>
      <c r="P66" s="201"/>
      <c r="Q66" s="201"/>
      <c r="R66" s="201"/>
      <c r="S66" s="200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</row>
    <row r="67" spans="3:37">
      <c r="C67" s="93"/>
      <c r="D67" s="93"/>
      <c r="E67" s="85"/>
      <c r="F67" s="85"/>
      <c r="G67" s="85"/>
      <c r="H67" s="85"/>
      <c r="I67" s="85"/>
      <c r="J67" s="85"/>
      <c r="K67" s="85"/>
      <c r="L67" s="200"/>
      <c r="M67" s="201"/>
      <c r="N67" s="200"/>
      <c r="O67" s="200"/>
      <c r="P67" s="201"/>
      <c r="Q67" s="201"/>
      <c r="R67" s="201"/>
      <c r="S67" s="200"/>
      <c r="V67" s="198"/>
      <c r="W67" s="198"/>
      <c r="X67" s="198"/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</row>
    <row r="68" spans="3:37">
      <c r="C68" s="93"/>
      <c r="D68" s="93"/>
      <c r="E68" s="85"/>
      <c r="F68" s="85"/>
      <c r="G68" s="85"/>
      <c r="H68" s="85"/>
      <c r="I68" s="85"/>
      <c r="J68" s="85"/>
      <c r="K68" s="85"/>
      <c r="L68" s="200"/>
      <c r="M68" s="201"/>
      <c r="N68" s="200"/>
      <c r="O68" s="200"/>
      <c r="P68" s="201"/>
      <c r="Q68" s="201"/>
      <c r="R68" s="201"/>
      <c r="S68" s="200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</row>
    <row r="69" spans="3:37" ht="12.75" customHeight="1">
      <c r="C69" s="85"/>
      <c r="D69" s="93"/>
      <c r="E69" s="200"/>
      <c r="F69" s="200"/>
      <c r="G69" s="200"/>
      <c r="H69" s="200"/>
      <c r="I69" s="200"/>
      <c r="J69" s="200"/>
      <c r="K69" s="200"/>
      <c r="L69" s="200"/>
      <c r="M69" s="201"/>
      <c r="N69" s="200"/>
      <c r="O69" s="200"/>
      <c r="P69" s="201"/>
      <c r="Q69" s="201"/>
      <c r="R69" s="201"/>
      <c r="S69" s="200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</row>
    <row r="70" spans="3:37"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1"/>
      <c r="N70" s="200"/>
      <c r="O70" s="200"/>
      <c r="P70" s="201"/>
      <c r="Q70" s="201"/>
      <c r="R70" s="201"/>
      <c r="S70" s="200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</row>
    <row r="71" spans="3:37"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1"/>
      <c r="N71" s="200"/>
      <c r="O71" s="200"/>
      <c r="P71" s="201"/>
      <c r="Q71" s="201"/>
      <c r="R71" s="201"/>
      <c r="S71" s="200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</row>
    <row r="72" spans="3:37"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1"/>
      <c r="N72" s="200"/>
      <c r="O72" s="200"/>
      <c r="P72" s="201"/>
      <c r="Q72" s="201"/>
      <c r="R72" s="201"/>
      <c r="S72" s="200"/>
      <c r="V72" s="198"/>
      <c r="W72" s="198"/>
      <c r="X72" s="198"/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</row>
    <row r="73" spans="3:37"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9"/>
      <c r="N73" s="198"/>
      <c r="O73" s="198"/>
      <c r="P73" s="199"/>
      <c r="Q73" s="199"/>
      <c r="R73" s="199"/>
      <c r="S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</row>
    <row r="74" spans="3:37"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9"/>
      <c r="N74" s="198"/>
      <c r="O74" s="198"/>
      <c r="P74" s="199"/>
      <c r="Q74" s="199"/>
      <c r="R74" s="199"/>
      <c r="S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</row>
    <row r="75" spans="3:37"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9"/>
      <c r="N75" s="198"/>
      <c r="O75" s="198"/>
      <c r="P75" s="199"/>
      <c r="Q75" s="199"/>
      <c r="R75" s="199"/>
      <c r="S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</row>
    <row r="76" spans="3:37"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9"/>
      <c r="N76" s="198"/>
      <c r="O76" s="198"/>
      <c r="P76" s="199"/>
      <c r="Q76" s="199"/>
      <c r="R76" s="199"/>
      <c r="S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</row>
    <row r="77" spans="3:37"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9"/>
      <c r="N77" s="198"/>
      <c r="O77" s="198"/>
      <c r="P77" s="199"/>
      <c r="Q77" s="199"/>
      <c r="R77" s="199"/>
      <c r="S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</row>
    <row r="78" spans="3:37"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9"/>
      <c r="N78" s="198"/>
      <c r="O78" s="198"/>
      <c r="P78" s="199"/>
      <c r="Q78" s="199"/>
      <c r="R78" s="199"/>
      <c r="S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</row>
    <row r="79" spans="3:37"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9"/>
      <c r="N79" s="198"/>
      <c r="O79" s="198"/>
      <c r="P79" s="199"/>
      <c r="Q79" s="199"/>
      <c r="R79" s="199"/>
      <c r="S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</row>
    <row r="80" spans="3:37"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9"/>
      <c r="N80" s="198"/>
      <c r="O80" s="198"/>
      <c r="P80" s="199"/>
      <c r="Q80" s="199"/>
      <c r="R80" s="199"/>
      <c r="S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</row>
    <row r="81" spans="3:37"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9"/>
      <c r="N81" s="198"/>
      <c r="O81" s="198"/>
      <c r="P81" s="199"/>
      <c r="Q81" s="199"/>
      <c r="R81" s="199"/>
      <c r="S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</row>
    <row r="82" spans="3:37"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9"/>
      <c r="N82" s="198"/>
      <c r="O82" s="198"/>
      <c r="P82" s="199"/>
      <c r="Q82" s="199"/>
      <c r="R82" s="199"/>
      <c r="S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</row>
    <row r="83" spans="3:37"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9"/>
      <c r="N83" s="198"/>
      <c r="O83" s="198"/>
      <c r="P83" s="199"/>
      <c r="Q83" s="199"/>
      <c r="R83" s="199"/>
      <c r="S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</row>
    <row r="84" spans="3:37"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9"/>
      <c r="N84" s="198"/>
      <c r="O84" s="198"/>
      <c r="P84" s="199"/>
      <c r="Q84" s="199"/>
      <c r="R84" s="199"/>
      <c r="S84" s="198"/>
      <c r="V84" s="198"/>
      <c r="W84" s="198"/>
      <c r="X84" s="198"/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</row>
    <row r="85" spans="3:37"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9"/>
      <c r="N85" s="198"/>
      <c r="O85" s="198"/>
      <c r="P85" s="199"/>
      <c r="Q85" s="199"/>
      <c r="R85" s="199"/>
      <c r="S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</row>
    <row r="86" spans="3:37"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9"/>
      <c r="N86" s="198"/>
      <c r="O86" s="198"/>
      <c r="P86" s="199"/>
      <c r="Q86" s="199"/>
      <c r="R86" s="199"/>
      <c r="S86" s="198"/>
      <c r="V86" s="198"/>
      <c r="W86" s="198"/>
      <c r="X86" s="198"/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</row>
    <row r="87" spans="3:37"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9"/>
      <c r="N87" s="198"/>
      <c r="O87" s="198"/>
      <c r="P87" s="199"/>
      <c r="Q87" s="199"/>
      <c r="R87" s="199"/>
      <c r="S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</row>
    <row r="88" spans="3:37"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9"/>
      <c r="N88" s="198"/>
      <c r="O88" s="198"/>
      <c r="P88" s="199"/>
      <c r="Q88" s="199"/>
      <c r="R88" s="199"/>
      <c r="S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</row>
    <row r="89" spans="3:37"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9"/>
      <c r="N89" s="198"/>
      <c r="O89" s="198"/>
      <c r="P89" s="199"/>
      <c r="Q89" s="199"/>
      <c r="R89" s="199"/>
      <c r="S89" s="198"/>
      <c r="V89" s="198"/>
      <c r="W89" s="198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</row>
    <row r="90" spans="3:37"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9"/>
      <c r="N90" s="198"/>
      <c r="O90" s="198"/>
      <c r="P90" s="199"/>
      <c r="Q90" s="199"/>
      <c r="R90" s="199"/>
      <c r="S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</row>
    <row r="91" spans="3:37"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9"/>
      <c r="N91" s="198"/>
      <c r="O91" s="198"/>
      <c r="P91" s="199"/>
      <c r="Q91" s="199"/>
      <c r="R91" s="199"/>
      <c r="S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</row>
    <row r="92" spans="3:37"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9"/>
      <c r="N92" s="198"/>
      <c r="O92" s="198"/>
      <c r="P92" s="199"/>
      <c r="Q92" s="199"/>
      <c r="R92" s="199"/>
      <c r="S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</row>
    <row r="93" spans="3:37"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9"/>
      <c r="N93" s="198"/>
      <c r="O93" s="198"/>
      <c r="P93" s="199"/>
      <c r="Q93" s="199"/>
      <c r="R93" s="199"/>
      <c r="S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</row>
    <row r="94" spans="3:37"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9"/>
      <c r="N94" s="198"/>
      <c r="O94" s="198"/>
      <c r="P94" s="199"/>
      <c r="Q94" s="199"/>
      <c r="R94" s="199"/>
      <c r="S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</row>
    <row r="95" spans="3:37"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9"/>
      <c r="N95" s="198"/>
      <c r="O95" s="198"/>
      <c r="P95" s="199"/>
      <c r="Q95" s="199"/>
      <c r="R95" s="199"/>
      <c r="S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</row>
    <row r="96" spans="3:37"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9"/>
      <c r="N96" s="198"/>
      <c r="O96" s="198"/>
      <c r="P96" s="199"/>
      <c r="Q96" s="199"/>
      <c r="R96" s="199"/>
      <c r="S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</row>
    <row r="97" spans="3:37"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9"/>
      <c r="N97" s="198"/>
      <c r="O97" s="198"/>
      <c r="P97" s="199"/>
      <c r="Q97" s="199"/>
      <c r="R97" s="199"/>
      <c r="S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</row>
    <row r="98" spans="3:37"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9"/>
      <c r="N98" s="198"/>
      <c r="O98" s="198"/>
      <c r="P98" s="199"/>
      <c r="Q98" s="199"/>
      <c r="R98" s="199"/>
      <c r="S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</row>
    <row r="99" spans="3:37"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9"/>
      <c r="N99" s="198"/>
      <c r="O99" s="198"/>
      <c r="P99" s="199"/>
      <c r="Q99" s="199"/>
      <c r="R99" s="199"/>
      <c r="S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</row>
    <row r="100" spans="3:37"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9"/>
      <c r="N100" s="198"/>
      <c r="O100" s="198"/>
      <c r="P100" s="199"/>
      <c r="Q100" s="199"/>
      <c r="R100" s="199"/>
      <c r="S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</row>
    <row r="101" spans="3:37">
      <c r="C101" s="198"/>
      <c r="D101" s="198"/>
      <c r="E101" s="198"/>
      <c r="F101" s="198"/>
      <c r="G101" s="198"/>
      <c r="H101" s="198"/>
      <c r="I101" s="198"/>
      <c r="J101" s="198"/>
      <c r="K101" s="198"/>
      <c r="L101" s="198"/>
      <c r="M101" s="199"/>
      <c r="N101" s="198"/>
      <c r="O101" s="198"/>
      <c r="P101" s="199"/>
      <c r="Q101" s="199"/>
      <c r="R101" s="199"/>
      <c r="S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</row>
    <row r="102" spans="3:37"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9"/>
      <c r="N102" s="198"/>
      <c r="O102" s="198"/>
      <c r="P102" s="199"/>
      <c r="Q102" s="199"/>
      <c r="R102" s="199"/>
      <c r="S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</row>
    <row r="103" spans="3:37"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9"/>
      <c r="N103" s="198"/>
      <c r="O103" s="198"/>
      <c r="P103" s="199"/>
      <c r="Q103" s="199"/>
      <c r="R103" s="199"/>
      <c r="S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</row>
    <row r="104" spans="3:37">
      <c r="C104" s="198"/>
      <c r="D104" s="198"/>
      <c r="E104" s="198"/>
      <c r="F104" s="198"/>
      <c r="G104" s="198"/>
      <c r="H104" s="198"/>
      <c r="I104" s="198"/>
      <c r="J104" s="198"/>
      <c r="K104" s="198"/>
      <c r="L104" s="198"/>
      <c r="M104" s="199"/>
      <c r="N104" s="198"/>
      <c r="O104" s="198"/>
      <c r="P104" s="199"/>
      <c r="Q104" s="199"/>
      <c r="R104" s="199"/>
      <c r="S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</row>
    <row r="105" spans="3:37">
      <c r="C105" s="198"/>
      <c r="D105" s="198"/>
      <c r="E105" s="198"/>
      <c r="F105" s="198"/>
      <c r="G105" s="198"/>
      <c r="H105" s="198"/>
      <c r="I105" s="198"/>
      <c r="J105" s="198"/>
      <c r="K105" s="198"/>
      <c r="L105" s="198"/>
      <c r="M105" s="199"/>
      <c r="N105" s="198"/>
      <c r="O105" s="198"/>
      <c r="P105" s="199"/>
      <c r="Q105" s="199"/>
      <c r="R105" s="199"/>
      <c r="S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</row>
    <row r="106" spans="3:37"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9"/>
      <c r="N106" s="198"/>
      <c r="O106" s="198"/>
      <c r="P106" s="199"/>
      <c r="Q106" s="199"/>
      <c r="R106" s="199"/>
      <c r="S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</row>
    <row r="107" spans="3:37"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9"/>
      <c r="N107" s="198"/>
      <c r="O107" s="198"/>
      <c r="P107" s="199"/>
      <c r="Q107" s="199"/>
      <c r="R107" s="199"/>
      <c r="S107" s="198"/>
      <c r="V107" s="198"/>
      <c r="W107" s="198"/>
      <c r="X107" s="198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</row>
    <row r="108" spans="3:37">
      <c r="C108" s="198"/>
      <c r="D108" s="198"/>
      <c r="E108" s="198"/>
      <c r="F108" s="198"/>
      <c r="G108" s="198"/>
      <c r="H108" s="198"/>
      <c r="I108" s="198"/>
      <c r="J108" s="198"/>
      <c r="K108" s="198"/>
      <c r="L108" s="198"/>
      <c r="M108" s="199"/>
      <c r="N108" s="198"/>
      <c r="O108" s="198"/>
      <c r="P108" s="199"/>
      <c r="Q108" s="199"/>
      <c r="R108" s="199"/>
      <c r="S108" s="198"/>
      <c r="V108" s="198"/>
      <c r="W108" s="198"/>
      <c r="X108" s="198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</row>
    <row r="109" spans="3:37">
      <c r="C109" s="198"/>
      <c r="D109" s="198"/>
      <c r="E109" s="198"/>
      <c r="F109" s="198"/>
      <c r="G109" s="198"/>
      <c r="H109" s="198"/>
      <c r="I109" s="198"/>
      <c r="J109" s="198"/>
      <c r="K109" s="198"/>
      <c r="L109" s="198"/>
      <c r="M109" s="199"/>
      <c r="N109" s="198"/>
      <c r="O109" s="198"/>
      <c r="P109" s="199"/>
      <c r="Q109" s="199"/>
      <c r="R109" s="199"/>
      <c r="S109" s="198"/>
      <c r="V109" s="198"/>
      <c r="W109" s="198"/>
      <c r="X109" s="198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</row>
    <row r="110" spans="3:37"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9"/>
      <c r="N110" s="198"/>
      <c r="O110" s="198"/>
      <c r="P110" s="199"/>
      <c r="Q110" s="199"/>
      <c r="R110" s="199"/>
      <c r="S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</row>
    <row r="111" spans="3:37">
      <c r="C111" s="198"/>
      <c r="D111" s="198"/>
      <c r="E111" s="198"/>
      <c r="F111" s="198"/>
      <c r="G111" s="198"/>
      <c r="H111" s="198"/>
      <c r="I111" s="198"/>
      <c r="J111" s="198"/>
      <c r="K111" s="198"/>
      <c r="L111" s="198"/>
      <c r="M111" s="199"/>
      <c r="N111" s="198"/>
      <c r="O111" s="198"/>
      <c r="P111" s="199"/>
      <c r="Q111" s="199"/>
      <c r="R111" s="199"/>
      <c r="S111" s="198"/>
      <c r="V111" s="198"/>
      <c r="W111" s="198"/>
      <c r="X111" s="198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</row>
    <row r="112" spans="3:37"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9"/>
      <c r="N112" s="198"/>
      <c r="O112" s="198"/>
      <c r="P112" s="199"/>
      <c r="Q112" s="199"/>
      <c r="R112" s="199"/>
      <c r="S112" s="198"/>
      <c r="V112" s="198"/>
      <c r="W112" s="198"/>
      <c r="X112" s="198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</row>
    <row r="113" spans="3:37">
      <c r="C113" s="198"/>
      <c r="D113" s="198"/>
      <c r="E113" s="198"/>
      <c r="F113" s="198"/>
      <c r="G113" s="198"/>
      <c r="H113" s="198"/>
      <c r="I113" s="198"/>
      <c r="J113" s="198"/>
      <c r="K113" s="198"/>
      <c r="L113" s="198"/>
      <c r="M113" s="199"/>
      <c r="N113" s="198"/>
      <c r="O113" s="198"/>
      <c r="P113" s="199"/>
      <c r="Q113" s="199"/>
      <c r="R113" s="199"/>
      <c r="S113" s="198"/>
      <c r="V113" s="198"/>
      <c r="W113" s="198"/>
      <c r="X113" s="198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</row>
    <row r="114" spans="3:37">
      <c r="C114" s="198"/>
      <c r="D114" s="198"/>
      <c r="E114" s="198"/>
      <c r="F114" s="198"/>
      <c r="G114" s="198"/>
      <c r="H114" s="198"/>
      <c r="I114" s="198"/>
      <c r="J114" s="198"/>
      <c r="K114" s="198"/>
      <c r="L114" s="198"/>
      <c r="M114" s="199"/>
      <c r="N114" s="198"/>
      <c r="O114" s="198"/>
      <c r="P114" s="199"/>
      <c r="Q114" s="199"/>
      <c r="R114" s="199"/>
      <c r="S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</row>
    <row r="115" spans="3:37"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9"/>
      <c r="N115" s="198"/>
      <c r="O115" s="198"/>
      <c r="P115" s="199"/>
      <c r="Q115" s="199"/>
      <c r="R115" s="199"/>
      <c r="S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</row>
    <row r="116" spans="3:37"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9"/>
      <c r="N116" s="198"/>
      <c r="O116" s="198"/>
      <c r="P116" s="199"/>
      <c r="Q116" s="199"/>
      <c r="R116" s="199"/>
      <c r="S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</row>
    <row r="117" spans="3:37">
      <c r="C117" s="198"/>
      <c r="D117" s="198"/>
      <c r="E117" s="198"/>
      <c r="F117" s="198"/>
      <c r="G117" s="198"/>
      <c r="H117" s="198"/>
      <c r="I117" s="198"/>
      <c r="J117" s="198"/>
      <c r="K117" s="198"/>
      <c r="L117" s="198"/>
      <c r="M117" s="199"/>
      <c r="N117" s="198"/>
      <c r="O117" s="198"/>
      <c r="P117" s="199"/>
      <c r="Q117" s="199"/>
      <c r="R117" s="199"/>
      <c r="S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</row>
    <row r="118" spans="3:37">
      <c r="C118" s="198"/>
      <c r="D118" s="198"/>
      <c r="E118" s="198"/>
      <c r="F118" s="198"/>
      <c r="G118" s="198"/>
      <c r="H118" s="198"/>
      <c r="I118" s="198"/>
      <c r="J118" s="198"/>
      <c r="K118" s="198"/>
      <c r="L118" s="198"/>
      <c r="M118" s="199"/>
      <c r="N118" s="198"/>
      <c r="O118" s="198"/>
      <c r="P118" s="199"/>
      <c r="Q118" s="199"/>
      <c r="R118" s="199"/>
      <c r="S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</row>
    <row r="119" spans="3:37">
      <c r="C119" s="198"/>
      <c r="D119" s="198"/>
      <c r="E119" s="198"/>
      <c r="F119" s="198"/>
      <c r="G119" s="198"/>
      <c r="H119" s="198"/>
      <c r="I119" s="198"/>
      <c r="J119" s="198"/>
      <c r="K119" s="198"/>
      <c r="L119" s="198"/>
      <c r="M119" s="199"/>
      <c r="N119" s="198"/>
      <c r="O119" s="198"/>
      <c r="P119" s="199"/>
      <c r="Q119" s="199"/>
      <c r="R119" s="199"/>
      <c r="S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</row>
    <row r="120" spans="3:37">
      <c r="C120" s="198"/>
      <c r="D120" s="198"/>
      <c r="E120" s="198"/>
      <c r="F120" s="198"/>
      <c r="G120" s="198"/>
      <c r="H120" s="198"/>
      <c r="I120" s="198"/>
      <c r="J120" s="198"/>
      <c r="K120" s="198"/>
      <c r="L120" s="198"/>
      <c r="M120" s="199"/>
      <c r="N120" s="198"/>
      <c r="O120" s="198"/>
      <c r="P120" s="199"/>
      <c r="Q120" s="199"/>
      <c r="R120" s="199"/>
      <c r="S120" s="198"/>
      <c r="V120" s="198"/>
      <c r="W120" s="198"/>
      <c r="X120" s="198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</row>
    <row r="121" spans="3:37">
      <c r="C121" s="198"/>
      <c r="D121" s="198"/>
      <c r="E121" s="198"/>
      <c r="F121" s="198"/>
      <c r="G121" s="198"/>
      <c r="H121" s="198"/>
      <c r="I121" s="198"/>
      <c r="J121" s="198"/>
      <c r="K121" s="198"/>
      <c r="L121" s="198"/>
      <c r="M121" s="199"/>
      <c r="N121" s="198"/>
      <c r="O121" s="198"/>
      <c r="P121" s="199"/>
      <c r="Q121" s="199"/>
      <c r="R121" s="199"/>
      <c r="S121" s="198"/>
      <c r="V121" s="198"/>
      <c r="W121" s="198"/>
      <c r="X121" s="198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</row>
    <row r="122" spans="3:37">
      <c r="C122" s="198"/>
      <c r="D122" s="198"/>
      <c r="E122" s="198"/>
      <c r="F122" s="198"/>
      <c r="G122" s="198"/>
      <c r="H122" s="198"/>
      <c r="I122" s="198"/>
      <c r="J122" s="198"/>
      <c r="K122" s="198"/>
      <c r="L122" s="198"/>
      <c r="M122" s="199"/>
      <c r="N122" s="198"/>
      <c r="O122" s="198"/>
      <c r="P122" s="199"/>
      <c r="Q122" s="199"/>
      <c r="R122" s="199"/>
      <c r="S122" s="198"/>
      <c r="V122" s="198"/>
      <c r="W122" s="198"/>
      <c r="X122" s="198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</row>
    <row r="123" spans="3:37">
      <c r="C123" s="198"/>
      <c r="D123" s="198"/>
      <c r="E123" s="198"/>
      <c r="F123" s="198"/>
      <c r="G123" s="198"/>
      <c r="H123" s="198"/>
      <c r="I123" s="198"/>
      <c r="J123" s="198"/>
      <c r="K123" s="198"/>
      <c r="L123" s="198"/>
      <c r="M123" s="199"/>
      <c r="N123" s="198"/>
      <c r="O123" s="198"/>
      <c r="P123" s="199"/>
      <c r="Q123" s="199"/>
      <c r="R123" s="199"/>
      <c r="S123" s="198"/>
      <c r="V123" s="198"/>
      <c r="W123" s="198"/>
      <c r="X123" s="198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</row>
    <row r="124" spans="3:37">
      <c r="C124" s="198"/>
      <c r="D124" s="198"/>
      <c r="E124" s="198"/>
      <c r="F124" s="198"/>
      <c r="G124" s="198"/>
      <c r="H124" s="198"/>
      <c r="I124" s="198"/>
      <c r="J124" s="198"/>
      <c r="K124" s="198"/>
      <c r="L124" s="198"/>
      <c r="M124" s="199"/>
      <c r="N124" s="198"/>
      <c r="O124" s="198"/>
      <c r="P124" s="199"/>
      <c r="Q124" s="199"/>
      <c r="R124" s="199"/>
      <c r="S124" s="198"/>
      <c r="V124" s="198"/>
      <c r="W124" s="198"/>
      <c r="X124" s="198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</row>
    <row r="125" spans="3:37">
      <c r="C125" s="198"/>
      <c r="D125" s="198"/>
      <c r="E125" s="198"/>
      <c r="F125" s="198"/>
      <c r="G125" s="198"/>
      <c r="H125" s="198"/>
      <c r="I125" s="198"/>
      <c r="J125" s="198"/>
      <c r="K125" s="198"/>
      <c r="L125" s="198"/>
      <c r="M125" s="199"/>
      <c r="N125" s="198"/>
      <c r="O125" s="198"/>
      <c r="P125" s="199"/>
      <c r="Q125" s="199"/>
      <c r="R125" s="199"/>
      <c r="S125" s="198"/>
      <c r="V125" s="198"/>
      <c r="W125" s="198"/>
      <c r="X125" s="198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</row>
    <row r="126" spans="3:37">
      <c r="C126" s="198"/>
      <c r="D126" s="198"/>
      <c r="E126" s="198"/>
      <c r="F126" s="198"/>
      <c r="G126" s="198"/>
      <c r="H126" s="198"/>
      <c r="I126" s="198"/>
      <c r="J126" s="198"/>
      <c r="K126" s="198"/>
      <c r="L126" s="198"/>
      <c r="M126" s="199"/>
      <c r="N126" s="198"/>
      <c r="O126" s="198"/>
      <c r="P126" s="199"/>
      <c r="Q126" s="199"/>
      <c r="R126" s="199"/>
      <c r="S126" s="198"/>
      <c r="V126" s="198"/>
      <c r="W126" s="198"/>
      <c r="X126" s="198"/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</row>
    <row r="127" spans="3:37"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9"/>
      <c r="N127" s="198"/>
      <c r="O127" s="198"/>
      <c r="P127" s="199"/>
      <c r="Q127" s="199"/>
      <c r="R127" s="199"/>
      <c r="S127" s="198"/>
      <c r="V127" s="198"/>
      <c r="W127" s="198"/>
      <c r="X127" s="198"/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</row>
    <row r="128" spans="3:37">
      <c r="C128" s="198"/>
      <c r="D128" s="198"/>
      <c r="E128" s="198"/>
      <c r="F128" s="198"/>
      <c r="G128" s="198"/>
      <c r="H128" s="198"/>
      <c r="I128" s="198"/>
      <c r="J128" s="198"/>
      <c r="K128" s="198"/>
      <c r="L128" s="198"/>
      <c r="M128" s="199"/>
      <c r="N128" s="198"/>
      <c r="O128" s="198"/>
      <c r="P128" s="199"/>
      <c r="Q128" s="199"/>
      <c r="R128" s="199"/>
      <c r="S128" s="198"/>
      <c r="V128" s="198"/>
      <c r="W128" s="198"/>
      <c r="X128" s="198"/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</row>
    <row r="129" spans="3:37">
      <c r="C129" s="198"/>
      <c r="D129" s="198"/>
      <c r="E129" s="198"/>
      <c r="F129" s="198"/>
      <c r="G129" s="198"/>
      <c r="H129" s="198"/>
      <c r="I129" s="198"/>
      <c r="J129" s="198"/>
      <c r="K129" s="198"/>
      <c r="L129" s="198"/>
      <c r="M129" s="199"/>
      <c r="N129" s="198"/>
      <c r="O129" s="198"/>
      <c r="P129" s="199"/>
      <c r="Q129" s="199"/>
      <c r="R129" s="199"/>
      <c r="S129" s="198"/>
      <c r="V129" s="198"/>
      <c r="W129" s="198"/>
      <c r="X129" s="198"/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</row>
    <row r="130" spans="3:37">
      <c r="C130" s="198"/>
      <c r="D130" s="198"/>
      <c r="E130" s="198"/>
      <c r="F130" s="198"/>
      <c r="G130" s="198"/>
      <c r="H130" s="198"/>
      <c r="I130" s="198"/>
      <c r="J130" s="198"/>
      <c r="K130" s="198"/>
      <c r="L130" s="198"/>
      <c r="M130" s="199"/>
      <c r="N130" s="198"/>
      <c r="O130" s="198"/>
      <c r="P130" s="199"/>
      <c r="Q130" s="199"/>
      <c r="R130" s="199"/>
      <c r="S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</row>
    <row r="131" spans="3:37">
      <c r="C131" s="198"/>
      <c r="D131" s="198"/>
      <c r="E131" s="198"/>
      <c r="F131" s="198"/>
      <c r="G131" s="198"/>
      <c r="H131" s="198"/>
      <c r="I131" s="198"/>
      <c r="J131" s="198"/>
      <c r="K131" s="198"/>
      <c r="L131" s="198"/>
      <c r="M131" s="199"/>
      <c r="N131" s="198"/>
      <c r="O131" s="198"/>
      <c r="P131" s="199"/>
      <c r="Q131" s="199"/>
      <c r="R131" s="199"/>
      <c r="S131" s="198"/>
      <c r="V131" s="198"/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</row>
    <row r="132" spans="3:37">
      <c r="C132" s="198"/>
      <c r="D132" s="198"/>
      <c r="E132" s="198"/>
      <c r="F132" s="198"/>
      <c r="G132" s="198"/>
      <c r="H132" s="198"/>
      <c r="I132" s="198"/>
      <c r="J132" s="198"/>
      <c r="K132" s="198"/>
      <c r="L132" s="198"/>
      <c r="M132" s="199"/>
      <c r="N132" s="198"/>
      <c r="O132" s="198"/>
      <c r="P132" s="199"/>
      <c r="Q132" s="199"/>
      <c r="R132" s="199"/>
      <c r="S132" s="198"/>
      <c r="V132" s="198"/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</row>
    <row r="133" spans="3:37">
      <c r="C133" s="198"/>
      <c r="D133" s="198"/>
      <c r="E133" s="198"/>
      <c r="F133" s="198"/>
      <c r="G133" s="198"/>
      <c r="H133" s="198"/>
      <c r="I133" s="198"/>
      <c r="J133" s="198"/>
      <c r="K133" s="198"/>
      <c r="L133" s="198"/>
      <c r="M133" s="199"/>
      <c r="N133" s="198"/>
      <c r="O133" s="198"/>
      <c r="P133" s="199"/>
      <c r="Q133" s="199"/>
      <c r="R133" s="199"/>
      <c r="S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</row>
    <row r="134" spans="3:37">
      <c r="C134" s="198"/>
      <c r="D134" s="198"/>
      <c r="E134" s="198"/>
      <c r="F134" s="198"/>
      <c r="G134" s="198"/>
      <c r="H134" s="198"/>
      <c r="I134" s="198"/>
      <c r="J134" s="198"/>
      <c r="K134" s="198"/>
      <c r="L134" s="198"/>
      <c r="M134" s="199"/>
      <c r="N134" s="198"/>
      <c r="O134" s="198"/>
      <c r="P134" s="199"/>
      <c r="Q134" s="199"/>
      <c r="R134" s="199"/>
      <c r="S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</row>
    <row r="135" spans="3:37">
      <c r="C135" s="198"/>
      <c r="D135" s="198"/>
      <c r="E135" s="198"/>
      <c r="F135" s="198"/>
      <c r="G135" s="198"/>
      <c r="H135" s="198"/>
      <c r="I135" s="198"/>
      <c r="J135" s="198"/>
      <c r="K135" s="198"/>
      <c r="L135" s="198"/>
      <c r="M135" s="199"/>
      <c r="N135" s="198"/>
      <c r="O135" s="198"/>
      <c r="P135" s="199"/>
      <c r="Q135" s="199"/>
      <c r="R135" s="199"/>
      <c r="S135" s="198"/>
      <c r="V135" s="198"/>
      <c r="W135" s="198"/>
      <c r="X135" s="198"/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8"/>
    </row>
    <row r="136" spans="3:37">
      <c r="C136" s="198"/>
      <c r="D136" s="198"/>
      <c r="E136" s="198"/>
      <c r="F136" s="198"/>
      <c r="G136" s="198"/>
      <c r="H136" s="198"/>
      <c r="I136" s="198"/>
      <c r="J136" s="198"/>
      <c r="K136" s="198"/>
      <c r="L136" s="198"/>
      <c r="M136" s="199"/>
      <c r="N136" s="198"/>
      <c r="O136" s="198"/>
      <c r="P136" s="199"/>
      <c r="Q136" s="199"/>
      <c r="R136" s="199"/>
      <c r="S136" s="198"/>
      <c r="V136" s="198"/>
      <c r="W136" s="198"/>
      <c r="X136" s="198"/>
      <c r="Y136" s="198"/>
      <c r="Z136" s="198"/>
      <c r="AA136" s="198"/>
      <c r="AB136" s="198"/>
      <c r="AC136" s="198"/>
      <c r="AD136" s="198"/>
      <c r="AE136" s="198"/>
      <c r="AF136" s="198"/>
      <c r="AG136" s="198"/>
      <c r="AH136" s="198"/>
      <c r="AI136" s="198"/>
      <c r="AJ136" s="198"/>
      <c r="AK136" s="198"/>
    </row>
    <row r="137" spans="3:37">
      <c r="C137" s="198"/>
      <c r="D137" s="198"/>
      <c r="E137" s="198"/>
      <c r="F137" s="198"/>
      <c r="G137" s="198"/>
      <c r="H137" s="198"/>
      <c r="I137" s="198"/>
      <c r="J137" s="198"/>
      <c r="K137" s="198"/>
      <c r="L137" s="198"/>
      <c r="M137" s="199"/>
      <c r="N137" s="198"/>
      <c r="O137" s="198"/>
      <c r="P137" s="199"/>
      <c r="Q137" s="199"/>
      <c r="R137" s="199"/>
      <c r="S137" s="198"/>
      <c r="V137" s="198"/>
      <c r="W137" s="198"/>
      <c r="X137" s="198"/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  <c r="AI137" s="198"/>
      <c r="AJ137" s="198"/>
      <c r="AK137" s="198"/>
    </row>
    <row r="138" spans="3:37"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9"/>
      <c r="N138" s="198"/>
      <c r="O138" s="198"/>
      <c r="P138" s="199"/>
      <c r="Q138" s="199"/>
      <c r="R138" s="199"/>
      <c r="S138" s="198"/>
      <c r="V138" s="198"/>
      <c r="W138" s="198"/>
      <c r="X138" s="198"/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</row>
    <row r="139" spans="3:37">
      <c r="C139" s="198"/>
      <c r="D139" s="198"/>
      <c r="E139" s="198"/>
      <c r="F139" s="198"/>
      <c r="G139" s="198"/>
      <c r="H139" s="198"/>
      <c r="I139" s="198"/>
      <c r="J139" s="198"/>
      <c r="K139" s="198"/>
      <c r="L139" s="198"/>
      <c r="M139" s="199"/>
      <c r="N139" s="198"/>
      <c r="O139" s="198"/>
      <c r="P139" s="199"/>
      <c r="Q139" s="199"/>
      <c r="R139" s="199"/>
      <c r="S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</row>
    <row r="140" spans="3:37">
      <c r="C140" s="198"/>
      <c r="D140" s="198"/>
      <c r="E140" s="198"/>
      <c r="F140" s="198"/>
      <c r="G140" s="198"/>
      <c r="H140" s="198"/>
      <c r="I140" s="198"/>
      <c r="J140" s="198"/>
      <c r="K140" s="198"/>
      <c r="L140" s="198"/>
      <c r="M140" s="199"/>
      <c r="N140" s="198"/>
      <c r="O140" s="198"/>
      <c r="P140" s="199"/>
      <c r="Q140" s="199"/>
      <c r="R140" s="199"/>
      <c r="S140" s="198"/>
      <c r="V140" s="198"/>
      <c r="W140" s="198"/>
      <c r="X140" s="198"/>
      <c r="Y140" s="198"/>
      <c r="Z140" s="198"/>
      <c r="AA140" s="198"/>
      <c r="AB140" s="198"/>
      <c r="AC140" s="198"/>
      <c r="AD140" s="198"/>
      <c r="AE140" s="198"/>
      <c r="AF140" s="198"/>
      <c r="AG140" s="198"/>
      <c r="AH140" s="198"/>
      <c r="AI140" s="198"/>
      <c r="AJ140" s="198"/>
      <c r="AK140" s="198"/>
    </row>
    <row r="141" spans="3:37">
      <c r="C141" s="198"/>
      <c r="D141" s="198"/>
      <c r="E141" s="198"/>
      <c r="F141" s="198"/>
      <c r="G141" s="198"/>
      <c r="H141" s="198"/>
      <c r="I141" s="198"/>
      <c r="J141" s="198"/>
      <c r="K141" s="198"/>
      <c r="L141" s="198"/>
      <c r="M141" s="199"/>
      <c r="N141" s="198"/>
      <c r="O141" s="198"/>
      <c r="P141" s="199"/>
      <c r="Q141" s="199"/>
      <c r="R141" s="199"/>
      <c r="S141" s="198"/>
      <c r="V141" s="198"/>
      <c r="W141" s="198"/>
      <c r="X141" s="198"/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</row>
    <row r="142" spans="3:37"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9"/>
      <c r="N142" s="198"/>
      <c r="O142" s="198"/>
      <c r="P142" s="199"/>
      <c r="Q142" s="199"/>
      <c r="R142" s="199"/>
      <c r="S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</row>
    <row r="143" spans="3:37">
      <c r="C143" s="198"/>
      <c r="D143" s="198"/>
      <c r="E143" s="198"/>
      <c r="F143" s="198"/>
      <c r="G143" s="198"/>
      <c r="H143" s="198"/>
      <c r="I143" s="198"/>
      <c r="J143" s="198"/>
      <c r="K143" s="198"/>
      <c r="L143" s="198"/>
      <c r="M143" s="199"/>
      <c r="N143" s="198"/>
      <c r="O143" s="198"/>
      <c r="P143" s="199"/>
      <c r="Q143" s="199"/>
      <c r="R143" s="199"/>
      <c r="S143" s="198"/>
      <c r="V143" s="198"/>
      <c r="W143" s="198"/>
      <c r="X143" s="198"/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</row>
    <row r="144" spans="3:37">
      <c r="C144" s="198"/>
      <c r="D144" s="198"/>
      <c r="E144" s="198"/>
      <c r="F144" s="198"/>
      <c r="G144" s="198"/>
      <c r="H144" s="198"/>
      <c r="I144" s="198"/>
      <c r="J144" s="198"/>
      <c r="K144" s="198"/>
      <c r="L144" s="198"/>
      <c r="M144" s="199"/>
      <c r="N144" s="198"/>
      <c r="O144" s="198"/>
      <c r="P144" s="199"/>
      <c r="Q144" s="199"/>
      <c r="R144" s="199"/>
      <c r="S144" s="198"/>
      <c r="V144" s="198"/>
      <c r="W144" s="198"/>
      <c r="X144" s="198"/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</row>
    <row r="145" spans="3:37">
      <c r="C145" s="198"/>
      <c r="D145" s="198"/>
      <c r="E145" s="198"/>
      <c r="F145" s="198"/>
      <c r="G145" s="198"/>
      <c r="H145" s="198"/>
      <c r="I145" s="198"/>
      <c r="J145" s="198"/>
      <c r="K145" s="198"/>
      <c r="L145" s="198"/>
      <c r="M145" s="199"/>
      <c r="N145" s="198"/>
      <c r="O145" s="198"/>
      <c r="P145" s="199"/>
      <c r="Q145" s="199"/>
      <c r="R145" s="199"/>
      <c r="S145" s="198"/>
      <c r="V145" s="198"/>
      <c r="W145" s="198"/>
      <c r="X145" s="198"/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</row>
    <row r="146" spans="3:37">
      <c r="C146" s="198"/>
      <c r="D146" s="198"/>
      <c r="E146" s="198"/>
      <c r="F146" s="198"/>
      <c r="G146" s="198"/>
      <c r="H146" s="198"/>
      <c r="I146" s="198"/>
      <c r="J146" s="198"/>
      <c r="K146" s="198"/>
      <c r="L146" s="198"/>
      <c r="M146" s="199"/>
      <c r="N146" s="198"/>
      <c r="O146" s="198"/>
      <c r="P146" s="199"/>
      <c r="Q146" s="199"/>
      <c r="R146" s="199"/>
      <c r="S146" s="198"/>
      <c r="V146" s="198"/>
      <c r="W146" s="198"/>
      <c r="X146" s="198"/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</row>
    <row r="147" spans="3:37">
      <c r="C147" s="198"/>
      <c r="D147" s="198"/>
      <c r="E147" s="198"/>
      <c r="F147" s="198"/>
      <c r="G147" s="198"/>
      <c r="H147" s="198"/>
      <c r="I147" s="198"/>
      <c r="J147" s="198"/>
      <c r="K147" s="198"/>
      <c r="L147" s="198"/>
      <c r="M147" s="199"/>
      <c r="N147" s="198"/>
      <c r="O147" s="198"/>
      <c r="P147" s="199"/>
      <c r="Q147" s="199"/>
      <c r="R147" s="199"/>
      <c r="S147" s="198"/>
      <c r="V147" s="198"/>
      <c r="W147" s="198"/>
      <c r="X147" s="198"/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</row>
    <row r="148" spans="3:37">
      <c r="C148" s="198"/>
      <c r="D148" s="198"/>
      <c r="E148" s="198"/>
      <c r="F148" s="198"/>
      <c r="G148" s="198"/>
      <c r="H148" s="198"/>
      <c r="I148" s="198"/>
      <c r="J148" s="198"/>
      <c r="K148" s="198"/>
      <c r="L148" s="198"/>
      <c r="M148" s="199"/>
      <c r="N148" s="198"/>
      <c r="O148" s="198"/>
      <c r="P148" s="199"/>
      <c r="Q148" s="199"/>
      <c r="R148" s="199"/>
      <c r="S148" s="198"/>
      <c r="V148" s="198"/>
      <c r="W148" s="198"/>
      <c r="X148" s="198"/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</row>
    <row r="149" spans="3:37">
      <c r="C149" s="198"/>
      <c r="D149" s="198"/>
      <c r="E149" s="198"/>
      <c r="F149" s="198"/>
      <c r="G149" s="198"/>
      <c r="H149" s="198"/>
      <c r="I149" s="198"/>
      <c r="J149" s="198"/>
      <c r="K149" s="198"/>
      <c r="L149" s="198"/>
      <c r="M149" s="199"/>
      <c r="N149" s="198"/>
      <c r="O149" s="198"/>
      <c r="P149" s="199"/>
      <c r="Q149" s="199"/>
      <c r="R149" s="199"/>
      <c r="S149" s="198"/>
      <c r="V149" s="198"/>
      <c r="W149" s="198"/>
      <c r="X149" s="198"/>
      <c r="Y149" s="198"/>
      <c r="Z149" s="198"/>
      <c r="AA149" s="198"/>
      <c r="AB149" s="198"/>
      <c r="AC149" s="198"/>
      <c r="AD149" s="198"/>
      <c r="AE149" s="198"/>
      <c r="AF149" s="198"/>
      <c r="AG149" s="198"/>
      <c r="AH149" s="198"/>
      <c r="AI149" s="198"/>
      <c r="AJ149" s="198"/>
      <c r="AK149" s="198"/>
    </row>
    <row r="150" spans="3:37">
      <c r="C150" s="198"/>
      <c r="D150" s="198"/>
      <c r="E150" s="198"/>
      <c r="F150" s="198"/>
      <c r="G150" s="198"/>
      <c r="H150" s="198"/>
      <c r="I150" s="198"/>
      <c r="J150" s="198"/>
      <c r="K150" s="198"/>
      <c r="L150" s="198"/>
      <c r="M150" s="199"/>
      <c r="N150" s="198"/>
      <c r="O150" s="198"/>
      <c r="P150" s="199"/>
      <c r="Q150" s="199"/>
      <c r="R150" s="199"/>
      <c r="S150" s="198"/>
      <c r="V150" s="198"/>
      <c r="W150" s="198"/>
      <c r="X150" s="198"/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</row>
    <row r="151" spans="3:37"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9"/>
      <c r="N151" s="198"/>
      <c r="O151" s="198"/>
      <c r="P151" s="199"/>
      <c r="Q151" s="199"/>
      <c r="R151" s="199"/>
      <c r="S151" s="198"/>
      <c r="V151" s="198"/>
      <c r="W151" s="198"/>
      <c r="X151" s="198"/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</row>
    <row r="152" spans="3:37">
      <c r="C152" s="198"/>
      <c r="D152" s="198"/>
      <c r="E152" s="198"/>
      <c r="F152" s="198"/>
      <c r="G152" s="198"/>
      <c r="H152" s="198"/>
      <c r="I152" s="198"/>
      <c r="J152" s="198"/>
      <c r="K152" s="198"/>
      <c r="L152" s="198"/>
      <c r="M152" s="199"/>
      <c r="N152" s="198"/>
      <c r="O152" s="198"/>
      <c r="P152" s="199"/>
      <c r="Q152" s="199"/>
      <c r="R152" s="199"/>
      <c r="S152" s="198"/>
      <c r="V152" s="198"/>
      <c r="W152" s="198"/>
      <c r="X152" s="198"/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</row>
    <row r="153" spans="3:37"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9"/>
      <c r="N153" s="198"/>
      <c r="O153" s="198"/>
      <c r="P153" s="199"/>
      <c r="Q153" s="199"/>
      <c r="R153" s="199"/>
      <c r="S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</row>
    <row r="154" spans="3:37">
      <c r="C154" s="198"/>
      <c r="D154" s="198"/>
      <c r="E154" s="198"/>
      <c r="F154" s="198"/>
      <c r="G154" s="198"/>
      <c r="H154" s="198"/>
      <c r="I154" s="198"/>
      <c r="J154" s="198"/>
      <c r="K154" s="198"/>
      <c r="L154" s="198"/>
      <c r="M154" s="199"/>
      <c r="N154" s="198"/>
      <c r="O154" s="198"/>
      <c r="P154" s="199"/>
      <c r="Q154" s="199"/>
      <c r="R154" s="199"/>
      <c r="S154" s="198"/>
      <c r="V154" s="198"/>
      <c r="W154" s="198"/>
      <c r="X154" s="198"/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</row>
    <row r="155" spans="3:37">
      <c r="C155" s="198"/>
      <c r="D155" s="198"/>
      <c r="E155" s="198"/>
      <c r="F155" s="198"/>
      <c r="G155" s="198"/>
      <c r="H155" s="198"/>
      <c r="I155" s="198"/>
      <c r="J155" s="198"/>
      <c r="K155" s="198"/>
      <c r="L155" s="198"/>
      <c r="M155" s="199"/>
      <c r="N155" s="198"/>
      <c r="O155" s="198"/>
      <c r="P155" s="199"/>
      <c r="Q155" s="199"/>
      <c r="R155" s="199"/>
      <c r="S155" s="198"/>
      <c r="V155" s="198"/>
      <c r="W155" s="198"/>
      <c r="X155" s="198"/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</row>
    <row r="156" spans="3:37">
      <c r="C156" s="198"/>
      <c r="D156" s="198"/>
      <c r="E156" s="198"/>
      <c r="F156" s="198"/>
      <c r="G156" s="198"/>
      <c r="H156" s="198"/>
      <c r="I156" s="198"/>
      <c r="J156" s="198"/>
      <c r="K156" s="198"/>
      <c r="L156" s="198"/>
      <c r="M156" s="199"/>
      <c r="N156" s="198"/>
      <c r="O156" s="198"/>
      <c r="P156" s="199"/>
      <c r="Q156" s="199"/>
      <c r="R156" s="199"/>
      <c r="S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</row>
    <row r="157" spans="3:37">
      <c r="C157" s="198"/>
      <c r="D157" s="198"/>
      <c r="E157" s="198"/>
      <c r="F157" s="198"/>
      <c r="G157" s="198"/>
      <c r="H157" s="198"/>
      <c r="I157" s="198"/>
      <c r="J157" s="198"/>
      <c r="K157" s="198"/>
      <c r="L157" s="198"/>
      <c r="M157" s="199"/>
      <c r="N157" s="198"/>
      <c r="O157" s="198"/>
      <c r="P157" s="199"/>
      <c r="Q157" s="199"/>
      <c r="R157" s="199"/>
      <c r="S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</row>
    <row r="158" spans="3:37">
      <c r="C158" s="198"/>
      <c r="D158" s="198"/>
      <c r="E158" s="198"/>
      <c r="F158" s="198"/>
      <c r="G158" s="198"/>
      <c r="H158" s="198"/>
      <c r="I158" s="198"/>
      <c r="J158" s="198"/>
      <c r="K158" s="198"/>
      <c r="L158" s="198"/>
      <c r="M158" s="199"/>
      <c r="N158" s="198"/>
      <c r="O158" s="198"/>
      <c r="P158" s="199"/>
      <c r="Q158" s="199"/>
      <c r="R158" s="199"/>
      <c r="S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</row>
    <row r="159" spans="3:37">
      <c r="C159" s="198"/>
      <c r="D159" s="198"/>
      <c r="E159" s="198"/>
      <c r="F159" s="198"/>
      <c r="G159" s="198"/>
      <c r="H159" s="198"/>
      <c r="I159" s="198"/>
      <c r="J159" s="198"/>
      <c r="K159" s="198"/>
      <c r="L159" s="198"/>
      <c r="M159" s="199"/>
      <c r="N159" s="198"/>
      <c r="O159" s="198"/>
      <c r="P159" s="199"/>
      <c r="Q159" s="199"/>
      <c r="R159" s="199"/>
      <c r="S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</row>
    <row r="160" spans="3:37">
      <c r="C160" s="198"/>
      <c r="D160" s="198"/>
      <c r="E160" s="198"/>
      <c r="F160" s="198"/>
      <c r="G160" s="198"/>
      <c r="H160" s="198"/>
      <c r="I160" s="198"/>
      <c r="J160" s="198"/>
      <c r="K160" s="198"/>
      <c r="L160" s="198"/>
      <c r="M160" s="199"/>
      <c r="N160" s="198"/>
      <c r="O160" s="198"/>
      <c r="P160" s="199"/>
      <c r="Q160" s="199"/>
      <c r="R160" s="199"/>
      <c r="S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</row>
    <row r="161" spans="3:37">
      <c r="C161" s="198"/>
      <c r="D161" s="198"/>
      <c r="E161" s="198"/>
      <c r="F161" s="198"/>
      <c r="G161" s="198"/>
      <c r="H161" s="198"/>
      <c r="I161" s="198"/>
      <c r="J161" s="198"/>
      <c r="K161" s="198"/>
      <c r="L161" s="198"/>
      <c r="M161" s="199"/>
      <c r="N161" s="198"/>
      <c r="O161" s="198"/>
      <c r="P161" s="199"/>
      <c r="Q161" s="199"/>
      <c r="R161" s="199"/>
      <c r="S161" s="198"/>
      <c r="V161" s="198"/>
      <c r="W161" s="198"/>
      <c r="X161" s="198"/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</row>
    <row r="162" spans="3:37"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9"/>
      <c r="N162" s="198"/>
      <c r="O162" s="198"/>
      <c r="P162" s="199"/>
      <c r="Q162" s="199"/>
      <c r="R162" s="199"/>
      <c r="S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</row>
    <row r="163" spans="3:37">
      <c r="C163" s="198"/>
      <c r="D163" s="198"/>
      <c r="E163" s="198"/>
      <c r="F163" s="198"/>
      <c r="G163" s="198"/>
      <c r="H163" s="198"/>
      <c r="I163" s="198"/>
      <c r="J163" s="198"/>
      <c r="K163" s="198"/>
      <c r="L163" s="198"/>
      <c r="M163" s="199"/>
      <c r="N163" s="198"/>
      <c r="O163" s="198"/>
      <c r="P163" s="199"/>
      <c r="Q163" s="199"/>
      <c r="R163" s="199"/>
      <c r="S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</row>
    <row r="164" spans="3:37">
      <c r="C164" s="198"/>
      <c r="D164" s="198"/>
      <c r="E164" s="198"/>
      <c r="F164" s="198"/>
      <c r="G164" s="198"/>
      <c r="H164" s="198"/>
      <c r="I164" s="198"/>
      <c r="J164" s="198"/>
      <c r="K164" s="198"/>
      <c r="L164" s="198"/>
      <c r="M164" s="199"/>
      <c r="N164" s="198"/>
      <c r="O164" s="198"/>
      <c r="P164" s="199"/>
      <c r="Q164" s="199"/>
      <c r="R164" s="199"/>
      <c r="S164" s="198"/>
      <c r="V164" s="198"/>
      <c r="W164" s="198"/>
      <c r="X164" s="198"/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  <c r="AI164" s="198"/>
      <c r="AJ164" s="198"/>
      <c r="AK164" s="198"/>
    </row>
    <row r="165" spans="3:37">
      <c r="C165" s="198"/>
      <c r="D165" s="198"/>
      <c r="E165" s="198"/>
      <c r="F165" s="198"/>
      <c r="G165" s="198"/>
      <c r="H165" s="198"/>
      <c r="I165" s="198"/>
      <c r="J165" s="198"/>
      <c r="K165" s="198"/>
      <c r="L165" s="198"/>
      <c r="M165" s="199"/>
      <c r="N165" s="198"/>
      <c r="O165" s="198"/>
      <c r="P165" s="199"/>
      <c r="Q165" s="199"/>
      <c r="R165" s="199"/>
      <c r="S165" s="198"/>
      <c r="V165" s="198"/>
      <c r="W165" s="198"/>
      <c r="X165" s="198"/>
      <c r="Y165" s="198"/>
      <c r="Z165" s="198"/>
      <c r="AA165" s="198"/>
      <c r="AB165" s="198"/>
      <c r="AC165" s="198"/>
      <c r="AD165" s="198"/>
      <c r="AE165" s="198"/>
      <c r="AF165" s="198"/>
      <c r="AG165" s="198"/>
      <c r="AH165" s="198"/>
      <c r="AI165" s="198"/>
      <c r="AJ165" s="198"/>
      <c r="AK165" s="198"/>
    </row>
    <row r="166" spans="3:37">
      <c r="C166" s="198"/>
      <c r="D166" s="198"/>
      <c r="E166" s="198"/>
      <c r="F166" s="198"/>
      <c r="G166" s="198"/>
      <c r="H166" s="198"/>
      <c r="I166" s="198"/>
      <c r="J166" s="198"/>
      <c r="K166" s="198"/>
      <c r="L166" s="198"/>
      <c r="M166" s="199"/>
      <c r="N166" s="198"/>
      <c r="O166" s="198"/>
      <c r="P166" s="199"/>
      <c r="Q166" s="199"/>
      <c r="R166" s="199"/>
      <c r="S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</row>
    <row r="167" spans="3:37">
      <c r="C167" s="198"/>
      <c r="D167" s="198"/>
      <c r="E167" s="198"/>
      <c r="F167" s="198"/>
      <c r="G167" s="198"/>
      <c r="H167" s="198"/>
      <c r="I167" s="198"/>
      <c r="J167" s="198"/>
      <c r="K167" s="198"/>
      <c r="L167" s="198"/>
      <c r="M167" s="199"/>
      <c r="N167" s="198"/>
      <c r="O167" s="198"/>
      <c r="P167" s="199"/>
      <c r="Q167" s="199"/>
      <c r="R167" s="199"/>
      <c r="S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</row>
    <row r="168" spans="3:37"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9"/>
      <c r="N168" s="198"/>
      <c r="O168" s="198"/>
      <c r="P168" s="199"/>
      <c r="Q168" s="199"/>
      <c r="R168" s="199"/>
      <c r="S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</row>
    <row r="169" spans="3:37">
      <c r="C169" s="198"/>
      <c r="D169" s="198"/>
      <c r="E169" s="198"/>
      <c r="F169" s="198"/>
      <c r="G169" s="198"/>
      <c r="H169" s="198"/>
      <c r="I169" s="198"/>
      <c r="J169" s="198"/>
      <c r="K169" s="198"/>
      <c r="L169" s="198"/>
      <c r="M169" s="199"/>
      <c r="N169" s="198"/>
      <c r="O169" s="198"/>
      <c r="P169" s="199"/>
      <c r="Q169" s="199"/>
      <c r="R169" s="199"/>
      <c r="S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</row>
    <row r="170" spans="3:37">
      <c r="C170" s="198"/>
      <c r="D170" s="198"/>
      <c r="E170" s="198"/>
      <c r="F170" s="198"/>
      <c r="G170" s="198"/>
      <c r="H170" s="198"/>
      <c r="I170" s="198"/>
      <c r="J170" s="198"/>
      <c r="K170" s="198"/>
      <c r="L170" s="198"/>
      <c r="M170" s="199"/>
      <c r="N170" s="198"/>
      <c r="O170" s="198"/>
      <c r="P170" s="199"/>
      <c r="Q170" s="199"/>
      <c r="R170" s="199"/>
      <c r="S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</row>
    <row r="171" spans="3:37">
      <c r="C171" s="198"/>
      <c r="D171" s="198"/>
      <c r="E171" s="198"/>
      <c r="F171" s="198"/>
      <c r="G171" s="198"/>
      <c r="H171" s="198"/>
      <c r="I171" s="198"/>
      <c r="J171" s="198"/>
      <c r="K171" s="198"/>
      <c r="L171" s="198"/>
      <c r="M171" s="199"/>
      <c r="N171" s="198"/>
      <c r="O171" s="198"/>
      <c r="P171" s="199"/>
      <c r="Q171" s="199"/>
      <c r="R171" s="199"/>
      <c r="S171" s="198"/>
      <c r="V171" s="198"/>
      <c r="W171" s="198"/>
      <c r="X171" s="198"/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</row>
    <row r="172" spans="3:37"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9"/>
      <c r="N172" s="198"/>
      <c r="O172" s="198"/>
      <c r="P172" s="199"/>
      <c r="Q172" s="199"/>
      <c r="R172" s="199"/>
      <c r="S172" s="198"/>
      <c r="V172" s="198"/>
      <c r="W172" s="198"/>
      <c r="X172" s="198"/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</row>
    <row r="173" spans="3:37">
      <c r="C173" s="198"/>
      <c r="D173" s="198"/>
      <c r="E173" s="198"/>
      <c r="F173" s="198"/>
      <c r="G173" s="198"/>
      <c r="H173" s="198"/>
      <c r="I173" s="198"/>
      <c r="J173" s="198"/>
      <c r="K173" s="198"/>
      <c r="L173" s="198"/>
      <c r="M173" s="199"/>
      <c r="N173" s="198"/>
      <c r="O173" s="198"/>
      <c r="P173" s="199"/>
      <c r="Q173" s="199"/>
      <c r="R173" s="199"/>
      <c r="S173" s="198"/>
      <c r="V173" s="198"/>
      <c r="W173" s="198"/>
      <c r="X173" s="198"/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</row>
    <row r="174" spans="3:37">
      <c r="C174" s="198"/>
      <c r="D174" s="198"/>
      <c r="E174" s="198"/>
      <c r="F174" s="198"/>
      <c r="G174" s="198"/>
      <c r="H174" s="198"/>
      <c r="I174" s="198"/>
      <c r="J174" s="198"/>
      <c r="K174" s="198"/>
      <c r="L174" s="198"/>
      <c r="M174" s="199"/>
      <c r="N174" s="198"/>
      <c r="O174" s="198"/>
      <c r="P174" s="199"/>
      <c r="Q174" s="199"/>
      <c r="R174" s="199"/>
      <c r="S174" s="198"/>
      <c r="V174" s="198"/>
      <c r="W174" s="198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</row>
    <row r="175" spans="3:37">
      <c r="C175" s="198"/>
      <c r="D175" s="198"/>
      <c r="E175" s="198"/>
      <c r="F175" s="198"/>
      <c r="G175" s="198"/>
      <c r="H175" s="198"/>
      <c r="I175" s="198"/>
      <c r="J175" s="198"/>
      <c r="K175" s="198"/>
      <c r="L175" s="198"/>
      <c r="M175" s="199"/>
      <c r="N175" s="198"/>
      <c r="O175" s="198"/>
      <c r="P175" s="199"/>
      <c r="Q175" s="199"/>
      <c r="R175" s="199"/>
      <c r="S175" s="198"/>
      <c r="V175" s="198"/>
      <c r="W175" s="198"/>
      <c r="X175" s="198"/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</row>
    <row r="176" spans="3:37">
      <c r="C176" s="198"/>
      <c r="D176" s="198"/>
      <c r="E176" s="198"/>
      <c r="F176" s="198"/>
      <c r="G176" s="198"/>
      <c r="H176" s="198"/>
      <c r="I176" s="198"/>
      <c r="J176" s="198"/>
      <c r="K176" s="198"/>
      <c r="L176" s="198"/>
      <c r="M176" s="199"/>
      <c r="N176" s="198"/>
      <c r="O176" s="198"/>
      <c r="P176" s="199"/>
      <c r="Q176" s="199"/>
      <c r="R176" s="199"/>
      <c r="S176" s="198"/>
      <c r="V176" s="198"/>
      <c r="W176" s="198"/>
      <c r="X176" s="198"/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</row>
    <row r="177" spans="3:37">
      <c r="C177" s="198"/>
      <c r="D177" s="198"/>
      <c r="E177" s="198"/>
      <c r="F177" s="198"/>
      <c r="G177" s="198"/>
      <c r="H177" s="198"/>
      <c r="I177" s="198"/>
      <c r="J177" s="198"/>
      <c r="K177" s="198"/>
      <c r="L177" s="198"/>
      <c r="M177" s="199"/>
      <c r="N177" s="198"/>
      <c r="O177" s="198"/>
      <c r="P177" s="199"/>
      <c r="Q177" s="199"/>
      <c r="R177" s="199"/>
      <c r="S177" s="198"/>
      <c r="V177" s="198"/>
      <c r="W177" s="198"/>
      <c r="X177" s="198"/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</row>
    <row r="178" spans="3:37"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9"/>
      <c r="N178" s="198"/>
      <c r="O178" s="198"/>
      <c r="P178" s="199"/>
      <c r="Q178" s="199"/>
      <c r="R178" s="199"/>
      <c r="S178" s="198"/>
      <c r="V178" s="198"/>
      <c r="W178" s="198"/>
      <c r="X178" s="198"/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</row>
    <row r="179" spans="3:37">
      <c r="C179" s="198"/>
      <c r="D179" s="198"/>
      <c r="E179" s="198"/>
      <c r="F179" s="198"/>
      <c r="G179" s="198"/>
      <c r="H179" s="198"/>
      <c r="I179" s="198"/>
      <c r="J179" s="198"/>
      <c r="K179" s="198"/>
      <c r="L179" s="198"/>
      <c r="M179" s="199"/>
      <c r="N179" s="198"/>
      <c r="O179" s="198"/>
      <c r="P179" s="199"/>
      <c r="Q179" s="199"/>
      <c r="R179" s="199"/>
      <c r="S179" s="198"/>
      <c r="V179" s="198"/>
      <c r="W179" s="198"/>
      <c r="X179" s="198"/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</row>
    <row r="180" spans="3:37">
      <c r="C180" s="198"/>
      <c r="D180" s="198"/>
      <c r="E180" s="198"/>
      <c r="F180" s="198"/>
      <c r="G180" s="198"/>
      <c r="H180" s="198"/>
      <c r="I180" s="198"/>
      <c r="J180" s="198"/>
      <c r="K180" s="198"/>
      <c r="L180" s="198"/>
      <c r="M180" s="199"/>
      <c r="N180" s="198"/>
      <c r="O180" s="198"/>
      <c r="P180" s="199"/>
      <c r="Q180" s="199"/>
      <c r="R180" s="199"/>
      <c r="S180" s="198"/>
      <c r="V180" s="198"/>
      <c r="W180" s="198"/>
      <c r="X180" s="198"/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</row>
    <row r="181" spans="3:37">
      <c r="C181" s="198"/>
      <c r="D181" s="198"/>
      <c r="E181" s="198"/>
      <c r="F181" s="198"/>
      <c r="G181" s="198"/>
      <c r="H181" s="198"/>
      <c r="I181" s="198"/>
      <c r="J181" s="198"/>
      <c r="K181" s="198"/>
      <c r="L181" s="198"/>
      <c r="M181" s="199"/>
      <c r="N181" s="198"/>
      <c r="O181" s="198"/>
      <c r="P181" s="199"/>
      <c r="Q181" s="199"/>
      <c r="R181" s="199"/>
      <c r="S181" s="198"/>
      <c r="V181" s="198"/>
      <c r="W181" s="198"/>
      <c r="X181" s="198"/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</row>
    <row r="182" spans="3:37">
      <c r="C182" s="198"/>
      <c r="D182" s="198"/>
      <c r="E182" s="198"/>
      <c r="F182" s="198"/>
      <c r="G182" s="198"/>
      <c r="H182" s="198"/>
      <c r="I182" s="198"/>
      <c r="J182" s="198"/>
      <c r="K182" s="198"/>
      <c r="L182" s="198"/>
      <c r="M182" s="199"/>
      <c r="N182" s="198"/>
      <c r="O182" s="198"/>
      <c r="P182" s="199"/>
      <c r="Q182" s="199"/>
      <c r="R182" s="199"/>
      <c r="S182" s="198"/>
      <c r="V182" s="198"/>
      <c r="W182" s="198"/>
      <c r="X182" s="198"/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</row>
    <row r="183" spans="3:37">
      <c r="C183" s="198"/>
      <c r="D183" s="198"/>
      <c r="E183" s="198"/>
      <c r="F183" s="198"/>
      <c r="G183" s="198"/>
      <c r="H183" s="198"/>
      <c r="I183" s="198"/>
      <c r="J183" s="198"/>
      <c r="K183" s="198"/>
      <c r="L183" s="198"/>
      <c r="M183" s="199"/>
      <c r="N183" s="198"/>
      <c r="O183" s="198"/>
      <c r="P183" s="199"/>
      <c r="Q183" s="199"/>
      <c r="R183" s="199"/>
      <c r="S183" s="198"/>
      <c r="V183" s="198"/>
      <c r="W183" s="198"/>
      <c r="X183" s="198"/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</row>
    <row r="184" spans="3:37">
      <c r="C184" s="198"/>
      <c r="D184" s="198"/>
      <c r="E184" s="198"/>
      <c r="F184" s="198"/>
      <c r="G184" s="198"/>
      <c r="H184" s="198"/>
      <c r="I184" s="198"/>
      <c r="J184" s="198"/>
      <c r="K184" s="198"/>
      <c r="L184" s="198"/>
      <c r="M184" s="199"/>
      <c r="N184" s="198"/>
      <c r="O184" s="198"/>
      <c r="P184" s="199"/>
      <c r="Q184" s="199"/>
      <c r="R184" s="199"/>
      <c r="S184" s="198"/>
      <c r="V184" s="198"/>
      <c r="W184" s="198"/>
      <c r="X184" s="198"/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</row>
    <row r="185" spans="3:37">
      <c r="C185" s="198"/>
      <c r="D185" s="198"/>
      <c r="E185" s="198"/>
      <c r="F185" s="198"/>
      <c r="G185" s="198"/>
      <c r="H185" s="198"/>
      <c r="I185" s="198"/>
      <c r="J185" s="198"/>
      <c r="K185" s="198"/>
      <c r="L185" s="198"/>
      <c r="M185" s="199"/>
      <c r="N185" s="198"/>
      <c r="O185" s="198"/>
      <c r="P185" s="199"/>
      <c r="Q185" s="199"/>
      <c r="R185" s="199"/>
      <c r="S185" s="198"/>
      <c r="V185" s="198"/>
      <c r="W185" s="198"/>
      <c r="X185" s="198"/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  <c r="AI185" s="198"/>
      <c r="AJ185" s="198"/>
      <c r="AK185" s="198"/>
    </row>
    <row r="186" spans="3:37">
      <c r="C186" s="198"/>
      <c r="D186" s="198"/>
      <c r="E186" s="198"/>
      <c r="F186" s="198"/>
      <c r="G186" s="198"/>
      <c r="H186" s="198"/>
      <c r="I186" s="198"/>
      <c r="J186" s="198"/>
      <c r="K186" s="198"/>
      <c r="L186" s="198"/>
      <c r="M186" s="199"/>
      <c r="N186" s="198"/>
      <c r="O186" s="198"/>
      <c r="P186" s="199"/>
      <c r="Q186" s="199"/>
      <c r="R186" s="199"/>
      <c r="S186" s="198"/>
      <c r="V186" s="198"/>
      <c r="W186" s="198"/>
      <c r="X186" s="198"/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</row>
    <row r="187" spans="3:37">
      <c r="C187" s="198"/>
      <c r="D187" s="198"/>
      <c r="E187" s="198"/>
      <c r="F187" s="198"/>
      <c r="G187" s="198"/>
      <c r="H187" s="198"/>
      <c r="I187" s="198"/>
      <c r="J187" s="198"/>
      <c r="K187" s="198"/>
      <c r="L187" s="198"/>
      <c r="M187" s="199"/>
      <c r="N187" s="198"/>
      <c r="O187" s="198"/>
      <c r="P187" s="199"/>
      <c r="Q187" s="199"/>
      <c r="R187" s="199"/>
      <c r="S187" s="198"/>
      <c r="V187" s="198"/>
      <c r="W187" s="198"/>
      <c r="X187" s="198"/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</row>
    <row r="188" spans="3:37"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199"/>
      <c r="N188" s="198"/>
      <c r="O188" s="198"/>
      <c r="P188" s="199"/>
      <c r="Q188" s="199"/>
      <c r="R188" s="199"/>
      <c r="S188" s="198"/>
      <c r="V188" s="198"/>
      <c r="W188" s="198"/>
      <c r="X188" s="198"/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</row>
    <row r="189" spans="3:37">
      <c r="C189" s="198"/>
      <c r="D189" s="198"/>
      <c r="E189" s="198"/>
      <c r="F189" s="198"/>
      <c r="G189" s="198"/>
      <c r="H189" s="198"/>
      <c r="I189" s="198"/>
      <c r="J189" s="198"/>
      <c r="K189" s="198"/>
      <c r="L189" s="198"/>
      <c r="M189" s="199"/>
      <c r="N189" s="198"/>
      <c r="O189" s="198"/>
      <c r="P189" s="199"/>
      <c r="Q189" s="199"/>
      <c r="R189" s="199"/>
      <c r="S189" s="198"/>
      <c r="V189" s="198"/>
      <c r="W189" s="198"/>
      <c r="X189" s="198"/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</row>
    <row r="190" spans="3:37"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9"/>
      <c r="N190" s="198"/>
      <c r="O190" s="198"/>
      <c r="P190" s="199"/>
      <c r="Q190" s="199"/>
      <c r="R190" s="199"/>
      <c r="S190" s="198"/>
      <c r="V190" s="198"/>
      <c r="W190" s="198"/>
      <c r="X190" s="198"/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</row>
    <row r="191" spans="3:37">
      <c r="C191" s="198"/>
      <c r="D191" s="198"/>
      <c r="E191" s="198"/>
      <c r="F191" s="198"/>
      <c r="G191" s="198"/>
      <c r="H191" s="198"/>
      <c r="I191" s="198"/>
      <c r="J191" s="198"/>
      <c r="K191" s="198"/>
      <c r="L191" s="198"/>
      <c r="M191" s="199"/>
      <c r="N191" s="198"/>
      <c r="O191" s="198"/>
      <c r="P191" s="199"/>
      <c r="Q191" s="199"/>
      <c r="R191" s="199"/>
      <c r="S191" s="198"/>
      <c r="V191" s="198"/>
      <c r="W191" s="198"/>
      <c r="X191" s="198"/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</row>
    <row r="192" spans="3:37">
      <c r="C192" s="198"/>
      <c r="D192" s="198"/>
      <c r="E192" s="198"/>
      <c r="F192" s="198"/>
      <c r="G192" s="198"/>
      <c r="H192" s="198"/>
      <c r="I192" s="198"/>
      <c r="J192" s="198"/>
      <c r="K192" s="198"/>
      <c r="L192" s="198"/>
      <c r="M192" s="199"/>
      <c r="N192" s="198"/>
      <c r="O192" s="198"/>
      <c r="P192" s="199"/>
      <c r="Q192" s="199"/>
      <c r="R192" s="199"/>
      <c r="S192" s="198"/>
      <c r="V192" s="198"/>
      <c r="W192" s="198"/>
      <c r="X192" s="198"/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</row>
    <row r="193" spans="3:37"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9"/>
      <c r="N193" s="198"/>
      <c r="O193" s="198"/>
      <c r="P193" s="199"/>
      <c r="Q193" s="199"/>
      <c r="R193" s="199"/>
      <c r="S193" s="198"/>
      <c r="V193" s="198"/>
      <c r="W193" s="198"/>
      <c r="X193" s="198"/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</row>
    <row r="194" spans="3:37">
      <c r="C194" s="198"/>
      <c r="D194" s="198"/>
      <c r="E194" s="198"/>
      <c r="F194" s="198"/>
      <c r="G194" s="198"/>
      <c r="H194" s="198"/>
      <c r="I194" s="198"/>
      <c r="J194" s="198"/>
      <c r="K194" s="198"/>
      <c r="L194" s="198"/>
      <c r="M194" s="199"/>
      <c r="N194" s="198"/>
      <c r="O194" s="198"/>
      <c r="P194" s="199"/>
      <c r="Q194" s="199"/>
      <c r="R194" s="199"/>
      <c r="S194" s="198"/>
      <c r="V194" s="198"/>
      <c r="W194" s="198"/>
      <c r="X194" s="198"/>
      <c r="Y194" s="198"/>
      <c r="Z194" s="198"/>
      <c r="AA194" s="198"/>
      <c r="AB194" s="198"/>
      <c r="AC194" s="198"/>
      <c r="AD194" s="198"/>
      <c r="AE194" s="198"/>
      <c r="AF194" s="198"/>
      <c r="AG194" s="198"/>
      <c r="AH194" s="198"/>
      <c r="AI194" s="198"/>
      <c r="AJ194" s="198"/>
      <c r="AK194" s="198"/>
    </row>
    <row r="195" spans="3:37">
      <c r="C195" s="198"/>
      <c r="D195" s="198"/>
      <c r="E195" s="198"/>
      <c r="F195" s="198"/>
      <c r="G195" s="198"/>
      <c r="H195" s="198"/>
      <c r="I195" s="198"/>
      <c r="J195" s="198"/>
      <c r="K195" s="198"/>
      <c r="L195" s="198"/>
      <c r="M195" s="199"/>
      <c r="N195" s="198"/>
      <c r="O195" s="198"/>
      <c r="P195" s="199"/>
      <c r="Q195" s="199"/>
      <c r="R195" s="199"/>
      <c r="S195" s="198"/>
      <c r="V195" s="198"/>
      <c r="W195" s="198"/>
      <c r="X195" s="198"/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</row>
    <row r="196" spans="3:37">
      <c r="C196" s="198"/>
      <c r="D196" s="198"/>
      <c r="E196" s="198"/>
      <c r="F196" s="198"/>
      <c r="G196" s="198"/>
      <c r="H196" s="198"/>
      <c r="I196" s="198"/>
      <c r="J196" s="198"/>
      <c r="K196" s="198"/>
      <c r="L196" s="198"/>
      <c r="M196" s="199"/>
      <c r="N196" s="198"/>
      <c r="O196" s="198"/>
      <c r="P196" s="199"/>
      <c r="Q196" s="199"/>
      <c r="R196" s="199"/>
      <c r="S196" s="198"/>
      <c r="V196" s="198"/>
      <c r="W196" s="198"/>
      <c r="X196" s="198"/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</row>
    <row r="197" spans="3:37">
      <c r="C197" s="198"/>
      <c r="D197" s="198"/>
      <c r="E197" s="198"/>
      <c r="F197" s="198"/>
      <c r="G197" s="198"/>
      <c r="H197" s="198"/>
      <c r="I197" s="198"/>
      <c r="J197" s="198"/>
      <c r="K197" s="198"/>
      <c r="L197" s="198"/>
      <c r="M197" s="199"/>
      <c r="N197" s="198"/>
      <c r="O197" s="198"/>
      <c r="P197" s="199"/>
      <c r="Q197" s="199"/>
      <c r="R197" s="199"/>
      <c r="S197" s="198"/>
      <c r="V197" s="198"/>
      <c r="W197" s="198"/>
      <c r="X197" s="198"/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  <c r="AI197" s="198"/>
      <c r="AJ197" s="198"/>
      <c r="AK197" s="198"/>
    </row>
    <row r="198" spans="3:37">
      <c r="C198" s="198"/>
      <c r="D198" s="198"/>
      <c r="E198" s="198"/>
      <c r="F198" s="198"/>
      <c r="G198" s="198"/>
      <c r="H198" s="198"/>
      <c r="I198" s="198"/>
      <c r="J198" s="198"/>
      <c r="K198" s="198"/>
      <c r="L198" s="198"/>
      <c r="M198" s="199"/>
      <c r="N198" s="198"/>
      <c r="O198" s="198"/>
      <c r="P198" s="199"/>
      <c r="Q198" s="199"/>
      <c r="R198" s="199"/>
      <c r="S198" s="198"/>
      <c r="V198" s="198"/>
      <c r="W198" s="198"/>
      <c r="X198" s="198"/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</row>
    <row r="199" spans="3:37">
      <c r="C199" s="198"/>
      <c r="D199" s="198"/>
      <c r="E199" s="198"/>
      <c r="F199" s="198"/>
      <c r="G199" s="198"/>
      <c r="H199" s="198"/>
      <c r="I199" s="198"/>
      <c r="J199" s="198"/>
      <c r="K199" s="198"/>
      <c r="L199" s="198"/>
      <c r="M199" s="199"/>
      <c r="N199" s="198"/>
      <c r="O199" s="198"/>
      <c r="P199" s="199"/>
      <c r="Q199" s="199"/>
      <c r="R199" s="199"/>
      <c r="S199" s="198"/>
      <c r="V199" s="198"/>
      <c r="W199" s="198"/>
      <c r="X199" s="198"/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</row>
    <row r="200" spans="3:37">
      <c r="C200" s="198"/>
      <c r="D200" s="198"/>
      <c r="E200" s="198"/>
      <c r="F200" s="198"/>
      <c r="G200" s="198"/>
      <c r="H200" s="198"/>
      <c r="I200" s="198"/>
      <c r="J200" s="198"/>
      <c r="K200" s="198"/>
      <c r="L200" s="198"/>
      <c r="M200" s="199"/>
      <c r="N200" s="198"/>
      <c r="O200" s="198"/>
      <c r="P200" s="199"/>
      <c r="Q200" s="199"/>
      <c r="R200" s="199"/>
      <c r="S200" s="198"/>
      <c r="V200" s="198"/>
      <c r="W200" s="198"/>
      <c r="X200" s="198"/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</row>
    <row r="201" spans="3:37">
      <c r="C201" s="198"/>
      <c r="D201" s="198"/>
      <c r="E201" s="198"/>
      <c r="F201" s="198"/>
      <c r="G201" s="198"/>
      <c r="H201" s="198"/>
      <c r="I201" s="198"/>
      <c r="J201" s="198"/>
      <c r="K201" s="198"/>
      <c r="L201" s="198"/>
      <c r="M201" s="199"/>
      <c r="N201" s="198"/>
      <c r="O201" s="198"/>
      <c r="P201" s="199"/>
      <c r="Q201" s="199"/>
      <c r="R201" s="199"/>
      <c r="S201" s="198"/>
      <c r="V201" s="198"/>
      <c r="W201" s="198"/>
      <c r="X201" s="198"/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  <c r="AI201" s="198"/>
      <c r="AJ201" s="198"/>
      <c r="AK201" s="198"/>
    </row>
    <row r="202" spans="3:37">
      <c r="C202" s="198"/>
      <c r="D202" s="198"/>
      <c r="E202" s="198"/>
      <c r="F202" s="198"/>
      <c r="G202" s="198"/>
      <c r="H202" s="198"/>
      <c r="I202" s="198"/>
      <c r="J202" s="198"/>
      <c r="K202" s="198"/>
      <c r="L202" s="198"/>
      <c r="M202" s="199"/>
      <c r="N202" s="198"/>
      <c r="O202" s="198"/>
      <c r="P202" s="199"/>
      <c r="Q202" s="199"/>
      <c r="R202" s="199"/>
      <c r="S202" s="198"/>
      <c r="V202" s="198"/>
      <c r="W202" s="198"/>
      <c r="X202" s="198"/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</row>
    <row r="203" spans="3:37">
      <c r="C203" s="198"/>
      <c r="D203" s="198"/>
      <c r="E203" s="198"/>
      <c r="F203" s="198"/>
      <c r="G203" s="198"/>
      <c r="H203" s="198"/>
      <c r="I203" s="198"/>
      <c r="J203" s="198"/>
      <c r="K203" s="198"/>
      <c r="L203" s="198"/>
      <c r="M203" s="199"/>
      <c r="N203" s="198"/>
      <c r="O203" s="198"/>
      <c r="P203" s="199"/>
      <c r="Q203" s="199"/>
      <c r="R203" s="199"/>
      <c r="S203" s="198"/>
      <c r="V203" s="198"/>
      <c r="W203" s="198"/>
      <c r="X203" s="198"/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</row>
    <row r="204" spans="3:37">
      <c r="C204" s="198"/>
      <c r="D204" s="198"/>
      <c r="E204" s="198"/>
      <c r="F204" s="198"/>
      <c r="G204" s="198"/>
      <c r="H204" s="198"/>
      <c r="I204" s="198"/>
      <c r="J204" s="198"/>
      <c r="K204" s="198"/>
      <c r="L204" s="198"/>
      <c r="M204" s="199"/>
      <c r="N204" s="198"/>
      <c r="O204" s="198"/>
      <c r="P204" s="199"/>
      <c r="Q204" s="199"/>
      <c r="R204" s="199"/>
      <c r="S204" s="198"/>
      <c r="V204" s="198"/>
      <c r="W204" s="198"/>
      <c r="X204" s="198"/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</row>
  </sheetData>
  <sheetProtection sheet="1" objects="1" scenarios="1"/>
  <printOptions horizontalCentered="1"/>
  <pageMargins left="0.23622047244094491" right="0.19685039370078741" top="0" bottom="0" header="0.51181102362204722" footer="0.51181102362204722"/>
  <pageSetup paperSize="9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V122"/>
  <sheetViews>
    <sheetView zoomScale="125" zoomScaleNormal="125" zoomScalePageLayoutView="125" workbookViewId="0"/>
  </sheetViews>
  <sheetFormatPr baseColWidth="10" defaultRowHeight="12" x14ac:dyDescent="0"/>
  <cols>
    <col min="1" max="1" width="3.83203125" style="2" customWidth="1"/>
    <col min="2" max="2" width="4.6640625" style="2" customWidth="1"/>
    <col min="3" max="3" width="3.5" style="2" customWidth="1"/>
    <col min="4" max="4" width="5.6640625" style="2" customWidth="1"/>
    <col min="5" max="5" width="6.83203125" style="2" customWidth="1"/>
    <col min="6" max="6" width="7.33203125" style="42" customWidth="1"/>
    <col min="7" max="7" width="6.6640625" style="42" customWidth="1"/>
    <col min="8" max="8" width="7.33203125" style="42" customWidth="1"/>
    <col min="9" max="9" width="7.1640625" style="42" customWidth="1"/>
    <col min="10" max="10" width="7.33203125" style="42" customWidth="1"/>
    <col min="11" max="11" width="7.83203125" style="42" customWidth="1"/>
    <col min="12" max="12" width="2.6640625" style="42" customWidth="1"/>
    <col min="13" max="13" width="7.33203125" style="223" customWidth="1"/>
    <col min="14" max="14" width="9.6640625" style="2" customWidth="1"/>
    <col min="15" max="15" width="6" style="2" customWidth="1"/>
    <col min="16" max="16" width="2.83203125" style="2" customWidth="1"/>
    <col min="17" max="16384" width="10.83203125" style="2"/>
  </cols>
  <sheetData>
    <row r="2" spans="2:16">
      <c r="B2" s="61"/>
    </row>
    <row r="4" spans="2:16">
      <c r="D4" s="102" t="s">
        <v>371</v>
      </c>
      <c r="F4" s="62"/>
      <c r="G4" s="62"/>
      <c r="H4" s="62"/>
      <c r="I4" s="62"/>
      <c r="J4" s="62"/>
      <c r="K4" s="239"/>
      <c r="L4" s="239"/>
      <c r="M4" s="52"/>
    </row>
    <row r="5" spans="2:16">
      <c r="D5" s="102"/>
      <c r="F5" s="62"/>
      <c r="G5" s="62"/>
      <c r="H5" s="62"/>
      <c r="I5" s="62"/>
      <c r="J5" s="62"/>
      <c r="K5" s="239"/>
      <c r="L5" s="239"/>
      <c r="M5" s="52"/>
    </row>
    <row r="6" spans="2:16">
      <c r="D6" s="101" t="s">
        <v>370</v>
      </c>
      <c r="F6" s="62"/>
      <c r="G6" s="62"/>
      <c r="H6" s="62"/>
      <c r="I6" s="62"/>
      <c r="J6" s="62"/>
      <c r="K6" s="239"/>
      <c r="L6" s="239"/>
      <c r="M6" s="52"/>
    </row>
    <row r="7" spans="2:16" ht="13" thickBot="1">
      <c r="D7" s="54"/>
      <c r="E7" s="54"/>
      <c r="F7" s="54"/>
      <c r="G7" s="54"/>
      <c r="H7" s="54"/>
      <c r="I7" s="54"/>
      <c r="J7" s="54"/>
      <c r="K7" s="230"/>
      <c r="L7" s="230"/>
      <c r="M7" s="100"/>
      <c r="N7" s="235"/>
    </row>
    <row r="8" spans="2:16" ht="13" thickTop="1">
      <c r="D8" s="62"/>
      <c r="E8" s="62"/>
      <c r="F8" s="62"/>
      <c r="G8" s="62"/>
      <c r="H8" s="62"/>
      <c r="I8" s="62"/>
      <c r="J8" s="62"/>
      <c r="K8" s="239"/>
      <c r="L8" s="239"/>
      <c r="M8" s="52"/>
    </row>
    <row r="9" spans="2:16">
      <c r="D9" s="62"/>
      <c r="E9" s="62"/>
      <c r="F9" s="248" t="s">
        <v>367</v>
      </c>
      <c r="G9" s="244"/>
      <c r="H9" s="244"/>
      <c r="I9" s="62"/>
      <c r="J9" s="247" t="s">
        <v>369</v>
      </c>
      <c r="K9" s="242"/>
      <c r="L9" s="239"/>
      <c r="M9" s="246" t="s">
        <v>361</v>
      </c>
      <c r="N9" s="240"/>
    </row>
    <row r="10" spans="2:16">
      <c r="F10" s="62"/>
      <c r="G10" s="62"/>
      <c r="H10" s="62"/>
      <c r="I10" s="62"/>
      <c r="J10" s="62"/>
      <c r="K10" s="239"/>
      <c r="L10" s="239"/>
      <c r="M10" s="52"/>
    </row>
    <row r="11" spans="2:16">
      <c r="D11" s="176" t="s">
        <v>286</v>
      </c>
      <c r="E11" s="176" t="s">
        <v>285</v>
      </c>
      <c r="F11" s="49" t="s">
        <v>365</v>
      </c>
      <c r="G11" s="49" t="s">
        <v>364</v>
      </c>
      <c r="H11" s="49" t="s">
        <v>363</v>
      </c>
      <c r="I11" s="49" t="s">
        <v>363</v>
      </c>
      <c r="J11" s="49" t="s">
        <v>362</v>
      </c>
      <c r="K11" s="49"/>
      <c r="L11" s="49"/>
      <c r="M11" s="49" t="s">
        <v>361</v>
      </c>
      <c r="N11" s="210" t="s">
        <v>361</v>
      </c>
    </row>
    <row r="12" spans="2:16">
      <c r="D12" s="176"/>
      <c r="E12" s="176"/>
      <c r="F12" s="49" t="s">
        <v>360</v>
      </c>
      <c r="G12" s="49" t="s">
        <v>359</v>
      </c>
      <c r="H12" s="49" t="s">
        <v>358</v>
      </c>
      <c r="I12" s="49" t="s">
        <v>358</v>
      </c>
      <c r="J12" s="49"/>
      <c r="K12" s="49"/>
      <c r="L12" s="49"/>
      <c r="M12" s="49"/>
      <c r="N12" s="210"/>
    </row>
    <row r="13" spans="2:16" ht="13" thickBot="1">
      <c r="D13" s="171"/>
      <c r="E13" s="171"/>
      <c r="F13" s="71" t="s">
        <v>282</v>
      </c>
      <c r="G13" s="71" t="s">
        <v>282</v>
      </c>
      <c r="H13" s="71" t="s">
        <v>282</v>
      </c>
      <c r="I13" s="71" t="s">
        <v>357</v>
      </c>
      <c r="J13" s="71" t="s">
        <v>282</v>
      </c>
      <c r="K13" s="71" t="s">
        <v>290</v>
      </c>
      <c r="L13" s="71"/>
      <c r="M13" s="71" t="s">
        <v>282</v>
      </c>
      <c r="N13" s="238" t="s">
        <v>281</v>
      </c>
    </row>
    <row r="14" spans="2:16" ht="10.5" customHeight="1" thickTop="1">
      <c r="D14" s="166"/>
      <c r="E14" s="166"/>
      <c r="G14" s="49"/>
      <c r="H14" s="49"/>
      <c r="K14" s="223"/>
      <c r="L14" s="223"/>
      <c r="M14" s="2"/>
    </row>
    <row r="15" spans="2:16">
      <c r="D15" s="160"/>
      <c r="E15" s="160"/>
      <c r="F15" s="49" t="s">
        <v>356</v>
      </c>
      <c r="G15" s="49" t="s">
        <v>355</v>
      </c>
      <c r="H15" s="49" t="s">
        <v>354</v>
      </c>
      <c r="I15" s="49" t="s">
        <v>353</v>
      </c>
      <c r="J15" s="49" t="s">
        <v>352</v>
      </c>
      <c r="K15" s="49" t="s">
        <v>351</v>
      </c>
      <c r="L15" s="49"/>
      <c r="M15" s="49" t="s">
        <v>350</v>
      </c>
      <c r="N15" s="210" t="s">
        <v>349</v>
      </c>
    </row>
    <row r="16" spans="2:16" s="51" customFormat="1" ht="13" thickBot="1">
      <c r="D16" s="153"/>
      <c r="E16" s="153"/>
      <c r="F16" s="237"/>
      <c r="G16" s="237"/>
      <c r="H16" s="237"/>
      <c r="I16" s="237"/>
      <c r="J16" s="237"/>
      <c r="K16" s="236"/>
      <c r="L16" s="236"/>
      <c r="M16" s="235"/>
      <c r="N16" s="235"/>
      <c r="O16" s="2"/>
      <c r="P16" s="2"/>
    </row>
    <row r="17" spans="4:256" ht="13" thickTop="1">
      <c r="D17" s="144"/>
      <c r="E17" s="130" t="s">
        <v>244</v>
      </c>
      <c r="F17" s="88"/>
      <c r="G17" s="88"/>
      <c r="H17" s="88"/>
      <c r="I17" s="88"/>
      <c r="J17" s="88"/>
      <c r="K17" s="88"/>
      <c r="L17" s="88"/>
      <c r="M17" s="88">
        <v>339.5</v>
      </c>
      <c r="N17" s="88">
        <f>M17+M18+M19+M20</f>
        <v>570.40000000000009</v>
      </c>
      <c r="IP17" s="51"/>
      <c r="IQ17" s="51"/>
      <c r="IR17" s="51"/>
      <c r="IS17" s="51"/>
      <c r="IT17" s="51"/>
      <c r="IU17" s="51"/>
      <c r="IV17" s="51"/>
    </row>
    <row r="18" spans="4:256">
      <c r="D18" s="131" t="s">
        <v>243</v>
      </c>
      <c r="E18" s="130" t="s">
        <v>242</v>
      </c>
      <c r="F18" s="88"/>
      <c r="G18" s="88"/>
      <c r="H18" s="88"/>
      <c r="I18" s="88"/>
      <c r="J18" s="88"/>
      <c r="K18" s="88"/>
      <c r="L18" s="88"/>
      <c r="M18" s="88">
        <v>223.7</v>
      </c>
      <c r="N18" s="87">
        <v>230.9</v>
      </c>
      <c r="IP18" s="51"/>
      <c r="IQ18" s="51"/>
      <c r="IR18" s="51"/>
      <c r="IS18" s="51"/>
      <c r="IT18" s="51"/>
      <c r="IU18" s="51"/>
      <c r="IV18" s="51"/>
    </row>
    <row r="19" spans="4:256">
      <c r="D19" s="131" t="s">
        <v>169</v>
      </c>
      <c r="E19" s="130" t="s">
        <v>241</v>
      </c>
      <c r="F19" s="88"/>
      <c r="G19" s="88"/>
      <c r="H19" s="88"/>
      <c r="I19" s="88"/>
      <c r="J19" s="88"/>
      <c r="K19" s="88"/>
      <c r="L19" s="88"/>
      <c r="M19" s="88">
        <v>7.2</v>
      </c>
      <c r="N19" s="88"/>
    </row>
    <row r="20" spans="4:256">
      <c r="D20" s="131" t="s">
        <v>169</v>
      </c>
      <c r="E20" s="130" t="s">
        <v>240</v>
      </c>
      <c r="F20" s="88"/>
      <c r="G20" s="88"/>
      <c r="H20" s="88"/>
      <c r="I20" s="88"/>
      <c r="J20" s="88"/>
      <c r="K20" s="88"/>
      <c r="L20" s="88"/>
      <c r="M20" s="88">
        <v>0</v>
      </c>
      <c r="N20" s="88"/>
    </row>
    <row r="21" spans="4:256">
      <c r="D21" s="144"/>
      <c r="E21" s="130" t="s">
        <v>239</v>
      </c>
      <c r="F21" s="88">
        <v>18</v>
      </c>
      <c r="G21" s="88"/>
      <c r="H21" s="88">
        <f t="shared" ref="H21:H48" si="0">F21+G21</f>
        <v>18</v>
      </c>
      <c r="I21" s="88">
        <f>SUM(F21:F24)</f>
        <v>67</v>
      </c>
      <c r="J21" s="88">
        <f>('a-4d'!D14+'a-4d'!D21)/4</f>
        <v>2.125</v>
      </c>
      <c r="K21" s="88">
        <f>J21+J22+J23+J24</f>
        <v>8.5</v>
      </c>
      <c r="L21" s="88"/>
      <c r="M21" s="88">
        <v>0</v>
      </c>
      <c r="N21" s="88">
        <f>M21+M22+M23+M24</f>
        <v>85</v>
      </c>
    </row>
    <row r="22" spans="4:256">
      <c r="D22" s="131" t="s">
        <v>238</v>
      </c>
      <c r="E22" s="130" t="s">
        <v>237</v>
      </c>
      <c r="F22" s="88">
        <v>17</v>
      </c>
      <c r="G22" s="88"/>
      <c r="H22" s="88">
        <f t="shared" si="0"/>
        <v>17</v>
      </c>
      <c r="I22" s="88">
        <f>H22+H23+H24+H25</f>
        <v>64.599999999999994</v>
      </c>
      <c r="J22" s="88">
        <v>2.125</v>
      </c>
      <c r="K22" s="88"/>
      <c r="L22" s="88"/>
      <c r="M22" s="88">
        <v>28.3</v>
      </c>
      <c r="N22" s="88">
        <f>'a-3d'!D29</f>
        <v>113.39999999999999</v>
      </c>
    </row>
    <row r="23" spans="4:256">
      <c r="D23" s="131" t="s">
        <v>169</v>
      </c>
      <c r="E23" s="130" t="s">
        <v>236</v>
      </c>
      <c r="F23" s="88">
        <v>16.3</v>
      </c>
      <c r="G23" s="88"/>
      <c r="H23" s="88">
        <f t="shared" si="0"/>
        <v>16.3</v>
      </c>
      <c r="I23" s="88"/>
      <c r="J23" s="88">
        <v>2.125</v>
      </c>
      <c r="K23" s="88"/>
      <c r="L23" s="88"/>
      <c r="M23" s="88">
        <v>28.3</v>
      </c>
      <c r="N23" s="88"/>
    </row>
    <row r="24" spans="4:256">
      <c r="D24" s="131" t="s">
        <v>169</v>
      </c>
      <c r="E24" s="130" t="s">
        <v>235</v>
      </c>
      <c r="F24" s="88">
        <v>15.7</v>
      </c>
      <c r="G24" s="88"/>
      <c r="H24" s="88">
        <f t="shared" si="0"/>
        <v>15.7</v>
      </c>
      <c r="I24" s="88"/>
      <c r="J24" s="88">
        <v>2.125</v>
      </c>
      <c r="K24" s="88"/>
      <c r="L24" s="88"/>
      <c r="M24" s="88">
        <v>28.4</v>
      </c>
      <c r="N24" s="88"/>
    </row>
    <row r="25" spans="4:256">
      <c r="D25" s="131" t="s">
        <v>169</v>
      </c>
      <c r="E25" s="130" t="s">
        <v>234</v>
      </c>
      <c r="F25" s="88">
        <v>15.6</v>
      </c>
      <c r="G25" s="88"/>
      <c r="H25" s="88">
        <f t="shared" si="0"/>
        <v>15.6</v>
      </c>
      <c r="I25" s="88">
        <f>SUM(F25:F28)</f>
        <v>71.199999999999989</v>
      </c>
      <c r="J25" s="88">
        <f>('a-4d'!E14+'a-4d'!E21)/4</f>
        <v>3.125</v>
      </c>
      <c r="K25" s="88">
        <f>J25+J26+J27+J28</f>
        <v>12.5</v>
      </c>
      <c r="L25" s="88"/>
      <c r="M25" s="88">
        <v>28.4</v>
      </c>
      <c r="N25" s="88">
        <f>M25+M26+M27+M28</f>
        <v>280.5</v>
      </c>
    </row>
    <row r="26" spans="4:256">
      <c r="D26" s="131" t="s">
        <v>233</v>
      </c>
      <c r="E26" s="130" t="s">
        <v>232</v>
      </c>
      <c r="F26" s="88">
        <v>18.5</v>
      </c>
      <c r="G26" s="88"/>
      <c r="H26" s="88">
        <f t="shared" si="0"/>
        <v>18.5</v>
      </c>
      <c r="I26" s="88">
        <f>H26+H27+H28+H29</f>
        <v>76.599999999999994</v>
      </c>
      <c r="J26" s="88">
        <v>3.125</v>
      </c>
      <c r="K26" s="88"/>
      <c r="L26" s="88"/>
      <c r="M26" s="88">
        <v>84</v>
      </c>
      <c r="N26" s="88">
        <f>'a-3d'!E29</f>
        <v>336.09999999999997</v>
      </c>
    </row>
    <row r="27" spans="4:256">
      <c r="D27" s="131" t="s">
        <v>169</v>
      </c>
      <c r="E27" s="130" t="s">
        <v>231</v>
      </c>
      <c r="F27" s="88">
        <v>18.7</v>
      </c>
      <c r="G27" s="88"/>
      <c r="H27" s="88">
        <f t="shared" si="0"/>
        <v>18.7</v>
      </c>
      <c r="I27" s="88"/>
      <c r="J27" s="88">
        <v>3.125</v>
      </c>
      <c r="K27" s="88"/>
      <c r="L27" s="88"/>
      <c r="M27" s="88">
        <v>84</v>
      </c>
      <c r="N27" s="88"/>
    </row>
    <row r="28" spans="4:256">
      <c r="D28" s="131" t="s">
        <v>169</v>
      </c>
      <c r="E28" s="130" t="s">
        <v>230</v>
      </c>
      <c r="F28" s="88">
        <v>18.399999999999999</v>
      </c>
      <c r="G28" s="88"/>
      <c r="H28" s="88">
        <f t="shared" si="0"/>
        <v>18.399999999999999</v>
      </c>
      <c r="I28" s="88"/>
      <c r="J28" s="88">
        <v>3.125</v>
      </c>
      <c r="K28" s="88"/>
      <c r="L28" s="88"/>
      <c r="M28" s="88">
        <v>84.1</v>
      </c>
      <c r="N28" s="88"/>
    </row>
    <row r="29" spans="4:256">
      <c r="D29" s="144"/>
      <c r="E29" s="130" t="s">
        <v>229</v>
      </c>
      <c r="F29" s="88">
        <v>21</v>
      </c>
      <c r="G29" s="88"/>
      <c r="H29" s="88">
        <f t="shared" si="0"/>
        <v>21</v>
      </c>
      <c r="I29" s="88">
        <f>SUM(F29:F32)</f>
        <v>95.2</v>
      </c>
      <c r="J29" s="88">
        <f>('a-4d'!F14+'a-4d'!F21)/4</f>
        <v>12.724999999999998</v>
      </c>
      <c r="K29" s="88">
        <f>J29+J30+J31+J32</f>
        <v>50.899999999999991</v>
      </c>
      <c r="L29" s="88"/>
      <c r="M29" s="88">
        <v>84</v>
      </c>
      <c r="N29" s="88">
        <f>M29+M30+M31+M32</f>
        <v>490.1</v>
      </c>
    </row>
    <row r="30" spans="4:256">
      <c r="D30" s="131" t="s">
        <v>228</v>
      </c>
      <c r="E30" s="130" t="s">
        <v>227</v>
      </c>
      <c r="F30" s="88">
        <v>24.7</v>
      </c>
      <c r="G30" s="88"/>
      <c r="H30" s="88">
        <f t="shared" si="0"/>
        <v>24.7</v>
      </c>
      <c r="I30" s="88">
        <f>H30+H31+H32+H33</f>
        <v>98.7</v>
      </c>
      <c r="J30" s="88">
        <f>('a-4d'!F14+'a-4d'!F21)/4</f>
        <v>12.724999999999998</v>
      </c>
      <c r="K30" s="88"/>
      <c r="L30" s="88"/>
      <c r="M30" s="88">
        <v>91.9</v>
      </c>
      <c r="N30" s="88">
        <f>'a-3d'!F29</f>
        <v>509.6</v>
      </c>
    </row>
    <row r="31" spans="4:256">
      <c r="D31" s="131" t="s">
        <v>169</v>
      </c>
      <c r="E31" s="130" t="s">
        <v>226</v>
      </c>
      <c r="F31" s="88">
        <v>24.3</v>
      </c>
      <c r="G31" s="88"/>
      <c r="H31" s="88">
        <f t="shared" si="0"/>
        <v>24.3</v>
      </c>
      <c r="I31" s="88"/>
      <c r="J31" s="88">
        <f>('a-4d'!F14+'a-4d'!F21)/4</f>
        <v>12.724999999999998</v>
      </c>
      <c r="K31" s="88"/>
      <c r="L31" s="88"/>
      <c r="M31" s="88">
        <v>81.900000000000006</v>
      </c>
      <c r="N31" s="88"/>
    </row>
    <row r="32" spans="4:256">
      <c r="D32" s="131" t="s">
        <v>169</v>
      </c>
      <c r="E32" s="130" t="s">
        <v>225</v>
      </c>
      <c r="F32" s="88">
        <v>25.2</v>
      </c>
      <c r="G32" s="88"/>
      <c r="H32" s="88">
        <f t="shared" si="0"/>
        <v>25.2</v>
      </c>
      <c r="I32" s="88"/>
      <c r="J32" s="88">
        <f>('a-4d'!F14+'a-4d'!F21)/4</f>
        <v>12.724999999999998</v>
      </c>
      <c r="K32" s="88"/>
      <c r="L32" s="88"/>
      <c r="M32" s="88">
        <v>232.3</v>
      </c>
      <c r="N32" s="88"/>
    </row>
    <row r="33" spans="4:14">
      <c r="D33" s="144"/>
      <c r="E33" s="130" t="s">
        <v>224</v>
      </c>
      <c r="F33" s="88">
        <v>24.5</v>
      </c>
      <c r="G33" s="88"/>
      <c r="H33" s="88">
        <f t="shared" si="0"/>
        <v>24.5</v>
      </c>
      <c r="I33" s="88">
        <f>SUM(F33:F36)</f>
        <v>128.19999999999999</v>
      </c>
      <c r="J33" s="88">
        <f>('a-4d'!G14+'a-4d'!G21)/4</f>
        <v>24.4</v>
      </c>
      <c r="K33" s="88">
        <f>J33+J34+J35+J36</f>
        <v>97.6</v>
      </c>
      <c r="L33" s="88"/>
      <c r="M33" s="88">
        <v>103.5</v>
      </c>
      <c r="N33" s="88">
        <f>M33+M34+M35+M36</f>
        <v>549.9</v>
      </c>
    </row>
    <row r="34" spans="4:14">
      <c r="D34" s="131" t="s">
        <v>223</v>
      </c>
      <c r="E34" s="130" t="s">
        <v>222</v>
      </c>
      <c r="F34" s="88">
        <v>32.299999999999997</v>
      </c>
      <c r="G34" s="88"/>
      <c r="H34" s="88">
        <f t="shared" si="0"/>
        <v>32.299999999999997</v>
      </c>
      <c r="I34" s="88">
        <f>H34+H35+H36+H37</f>
        <v>146.89999999999998</v>
      </c>
      <c r="J34" s="88">
        <f>('a-4d'!G14+'a-4d'!G21)/4</f>
        <v>24.4</v>
      </c>
      <c r="K34" s="88"/>
      <c r="L34" s="88"/>
      <c r="M34" s="88">
        <v>123.1</v>
      </c>
      <c r="N34" s="88">
        <f>'a-3d'!G29</f>
        <v>552.29999999999995</v>
      </c>
    </row>
    <row r="35" spans="4:14">
      <c r="D35" s="131" t="s">
        <v>169</v>
      </c>
      <c r="E35" s="130" t="s">
        <v>221</v>
      </c>
      <c r="F35" s="88">
        <v>32.5</v>
      </c>
      <c r="G35" s="88"/>
      <c r="H35" s="88">
        <f t="shared" si="0"/>
        <v>32.5</v>
      </c>
      <c r="I35" s="88"/>
      <c r="J35" s="88">
        <f>('a-4d'!G14+'a-4d'!G21)/4</f>
        <v>24.4</v>
      </c>
      <c r="K35" s="88"/>
      <c r="L35" s="88"/>
      <c r="M35" s="88">
        <v>59.6</v>
      </c>
      <c r="N35" s="88"/>
    </row>
    <row r="36" spans="4:14">
      <c r="D36" s="131" t="s">
        <v>169</v>
      </c>
      <c r="E36" s="130" t="s">
        <v>220</v>
      </c>
      <c r="F36" s="88">
        <v>38.9</v>
      </c>
      <c r="G36" s="88"/>
      <c r="H36" s="88">
        <f t="shared" si="0"/>
        <v>38.9</v>
      </c>
      <c r="I36" s="88"/>
      <c r="J36" s="88">
        <f>('a-4d'!G14+'a-4d'!G21)/4</f>
        <v>24.4</v>
      </c>
      <c r="K36" s="88"/>
      <c r="L36" s="88"/>
      <c r="M36" s="88">
        <v>263.7</v>
      </c>
      <c r="N36" s="88"/>
    </row>
    <row r="37" spans="4:14">
      <c r="D37" s="131" t="s">
        <v>169</v>
      </c>
      <c r="E37" s="130" t="s">
        <v>219</v>
      </c>
      <c r="F37" s="88">
        <v>43.2</v>
      </c>
      <c r="G37" s="88"/>
      <c r="H37" s="88">
        <f t="shared" si="0"/>
        <v>43.2</v>
      </c>
      <c r="I37" s="88">
        <f>SUM(F37:F40)</f>
        <v>217.39999999999998</v>
      </c>
      <c r="J37" s="88">
        <f>('a-4d'!H14+'a-4d'!H21)/4</f>
        <v>47.825000000000003</v>
      </c>
      <c r="K37" s="88">
        <f>J37+J38+J39+J40</f>
        <v>191.3</v>
      </c>
      <c r="L37" s="88"/>
      <c r="M37" s="88">
        <v>105.9</v>
      </c>
      <c r="N37" s="88">
        <f>M37+M38+M39+M40</f>
        <v>484.9</v>
      </c>
    </row>
    <row r="38" spans="4:14">
      <c r="D38" s="131" t="s">
        <v>218</v>
      </c>
      <c r="E38" s="130" t="s">
        <v>217</v>
      </c>
      <c r="F38" s="88">
        <v>54.4</v>
      </c>
      <c r="G38" s="88"/>
      <c r="H38" s="88">
        <f t="shared" si="0"/>
        <v>54.4</v>
      </c>
      <c r="I38" s="88">
        <f>H38+H39+H40+H41</f>
        <v>237.5</v>
      </c>
      <c r="J38" s="88">
        <f>('a-4d'!H14+'a-4d'!H21)/4</f>
        <v>47.825000000000003</v>
      </c>
      <c r="K38" s="88"/>
      <c r="L38" s="88"/>
      <c r="M38" s="88">
        <v>64.8</v>
      </c>
      <c r="N38" s="88">
        <f>'a-3d'!H29</f>
        <v>528.40000000000009</v>
      </c>
    </row>
    <row r="39" spans="4:14">
      <c r="D39" s="131" t="s">
        <v>169</v>
      </c>
      <c r="E39" s="130" t="s">
        <v>216</v>
      </c>
      <c r="F39" s="88">
        <v>56.3</v>
      </c>
      <c r="G39" s="88"/>
      <c r="H39" s="88">
        <f t="shared" si="0"/>
        <v>56.3</v>
      </c>
      <c r="I39" s="88"/>
      <c r="J39" s="88">
        <f>('a-4d'!H14+'a-4d'!H21)/4</f>
        <v>47.825000000000003</v>
      </c>
      <c r="K39" s="88"/>
      <c r="L39" s="88"/>
      <c r="M39" s="88">
        <v>74.5</v>
      </c>
      <c r="N39" s="88"/>
    </row>
    <row r="40" spans="4:14">
      <c r="D40" s="131" t="s">
        <v>169</v>
      </c>
      <c r="E40" s="130" t="s">
        <v>215</v>
      </c>
      <c r="F40" s="88">
        <v>63.5</v>
      </c>
      <c r="G40" s="88"/>
      <c r="H40" s="88">
        <f t="shared" si="0"/>
        <v>63.5</v>
      </c>
      <c r="I40" s="88"/>
      <c r="J40" s="88">
        <f>('a-4d'!H14+'a-4d'!H21)/4</f>
        <v>47.825000000000003</v>
      </c>
      <c r="K40" s="88"/>
      <c r="L40" s="88"/>
      <c r="M40" s="88">
        <v>239.7</v>
      </c>
      <c r="N40" s="88"/>
    </row>
    <row r="41" spans="4:14">
      <c r="D41" s="131" t="s">
        <v>169</v>
      </c>
      <c r="E41" s="130" t="s">
        <v>214</v>
      </c>
      <c r="F41" s="88">
        <v>63.3</v>
      </c>
      <c r="G41" s="88"/>
      <c r="H41" s="88">
        <f t="shared" si="0"/>
        <v>63.3</v>
      </c>
      <c r="I41" s="88">
        <f>SUM(F41:F44)</f>
        <v>289.8</v>
      </c>
      <c r="J41" s="88">
        <f>('a-4d'!I14+'a-4d'!I21)/4</f>
        <v>54.024999999999999</v>
      </c>
      <c r="K41" s="88">
        <f>J41+J42+J43+J44</f>
        <v>216.1</v>
      </c>
      <c r="L41" s="88"/>
      <c r="M41" s="88">
        <v>149.4</v>
      </c>
      <c r="N41" s="88">
        <f>M41+M42+M43+M44</f>
        <v>953.09999999999991</v>
      </c>
    </row>
    <row r="42" spans="4:14">
      <c r="D42" s="131" t="s">
        <v>213</v>
      </c>
      <c r="E42" s="130" t="s">
        <v>212</v>
      </c>
      <c r="F42" s="88">
        <v>73.5</v>
      </c>
      <c r="G42" s="88"/>
      <c r="H42" s="88">
        <f t="shared" si="0"/>
        <v>73.5</v>
      </c>
      <c r="I42" s="88">
        <f>H42+H43+H44+H45</f>
        <v>306.89999999999998</v>
      </c>
      <c r="J42" s="88">
        <f>('a-4d'!I14+'a-4d'!I21)/4</f>
        <v>54.024999999999999</v>
      </c>
      <c r="K42" s="88"/>
      <c r="L42" s="88"/>
      <c r="M42" s="88">
        <v>69.099999999999994</v>
      </c>
      <c r="N42" s="88">
        <f>'a-3d'!I29</f>
        <v>911.9</v>
      </c>
    </row>
    <row r="43" spans="4:14">
      <c r="D43" s="131" t="s">
        <v>169</v>
      </c>
      <c r="E43" s="130" t="s">
        <v>211</v>
      </c>
      <c r="F43" s="88">
        <v>72.599999999999994</v>
      </c>
      <c r="G43" s="88"/>
      <c r="H43" s="88">
        <f t="shared" si="0"/>
        <v>72.599999999999994</v>
      </c>
      <c r="I43" s="88"/>
      <c r="J43" s="88">
        <f>('a-4d'!I14+'a-4d'!I21)/4</f>
        <v>54.024999999999999</v>
      </c>
      <c r="K43" s="88"/>
      <c r="L43" s="88"/>
      <c r="M43" s="88">
        <v>387.3</v>
      </c>
      <c r="N43" s="88"/>
    </row>
    <row r="44" spans="4:14">
      <c r="D44" s="131" t="s">
        <v>169</v>
      </c>
      <c r="E44" s="130" t="s">
        <v>210</v>
      </c>
      <c r="F44" s="88">
        <v>80.400000000000006</v>
      </c>
      <c r="G44" s="88"/>
      <c r="H44" s="88">
        <f t="shared" si="0"/>
        <v>80.400000000000006</v>
      </c>
      <c r="I44" s="88"/>
      <c r="J44" s="88">
        <f>('a-4d'!I14+'a-4d'!I21)/4</f>
        <v>54.024999999999999</v>
      </c>
      <c r="K44" s="88"/>
      <c r="L44" s="88"/>
      <c r="M44" s="88">
        <v>347.3</v>
      </c>
      <c r="N44" s="88"/>
    </row>
    <row r="45" spans="4:14">
      <c r="D45" s="131" t="s">
        <v>169</v>
      </c>
      <c r="E45" s="130" t="s">
        <v>209</v>
      </c>
      <c r="F45" s="88">
        <v>80.400000000000006</v>
      </c>
      <c r="G45" s="88"/>
      <c r="H45" s="88">
        <f t="shared" si="0"/>
        <v>80.400000000000006</v>
      </c>
      <c r="I45" s="88">
        <f>SUM(F45:F48)</f>
        <v>309.3</v>
      </c>
      <c r="J45" s="88">
        <f>('a-4d'!J14+'a-4d'!J21)/4</f>
        <v>58.725000000000001</v>
      </c>
      <c r="K45" s="88">
        <f>J45+J46+J47+J48</f>
        <v>234.9</v>
      </c>
      <c r="L45" s="88"/>
      <c r="M45" s="88">
        <v>108.1</v>
      </c>
      <c r="N45" s="88">
        <f>M45+M46+M47+M48</f>
        <v>747.1</v>
      </c>
    </row>
    <row r="46" spans="4:14">
      <c r="D46" s="131" t="s">
        <v>208</v>
      </c>
      <c r="E46" s="130" t="s">
        <v>207</v>
      </c>
      <c r="F46" s="88">
        <v>75.099999999999994</v>
      </c>
      <c r="G46" s="88"/>
      <c r="H46" s="88">
        <f t="shared" si="0"/>
        <v>75.099999999999994</v>
      </c>
      <c r="I46" s="88">
        <f>H46+H47+H48+H73</f>
        <v>303.79999999999995</v>
      </c>
      <c r="J46" s="88">
        <f>('a-4d'!J14+'a-4d'!J21)/4</f>
        <v>58.725000000000001</v>
      </c>
      <c r="K46" s="88"/>
      <c r="L46" s="88"/>
      <c r="M46" s="88">
        <v>61.6</v>
      </c>
      <c r="N46" s="88">
        <f>'a-3d'!J29</f>
        <v>797.1</v>
      </c>
    </row>
    <row r="47" spans="4:14">
      <c r="D47" s="131" t="s">
        <v>169</v>
      </c>
      <c r="E47" s="130" t="s">
        <v>206</v>
      </c>
      <c r="F47" s="88">
        <v>76.5</v>
      </c>
      <c r="G47" s="88"/>
      <c r="H47" s="88">
        <f t="shared" si="0"/>
        <v>76.5</v>
      </c>
      <c r="I47" s="88"/>
      <c r="J47" s="88">
        <f>('a-4d'!J14+'a-4d'!J21)/4</f>
        <v>58.725000000000001</v>
      </c>
      <c r="K47" s="88"/>
      <c r="L47" s="88"/>
      <c r="M47" s="88">
        <v>48.9</v>
      </c>
      <c r="N47" s="88"/>
    </row>
    <row r="48" spans="4:14">
      <c r="D48" s="131" t="s">
        <v>169</v>
      </c>
      <c r="E48" s="130" t="s">
        <v>205</v>
      </c>
      <c r="F48" s="88">
        <v>77.3</v>
      </c>
      <c r="G48" s="88"/>
      <c r="H48" s="88">
        <f t="shared" si="0"/>
        <v>77.3</v>
      </c>
      <c r="I48" s="88"/>
      <c r="J48" s="88">
        <f>('a-4d'!J14+'a-4d'!J21)/4</f>
        <v>58.725000000000001</v>
      </c>
      <c r="K48" s="88"/>
      <c r="L48" s="88"/>
      <c r="M48" s="88">
        <v>528.5</v>
      </c>
      <c r="N48" s="88"/>
    </row>
    <row r="49" spans="4:14" ht="13" thickBot="1">
      <c r="D49" s="245"/>
      <c r="E49" s="152"/>
      <c r="F49" s="221"/>
      <c r="G49" s="221"/>
      <c r="H49" s="221"/>
      <c r="I49" s="221"/>
      <c r="J49" s="221"/>
      <c r="K49" s="221"/>
      <c r="L49" s="221"/>
      <c r="M49" s="221"/>
      <c r="N49" s="221"/>
    </row>
    <row r="50" spans="4:14" ht="13" thickTop="1">
      <c r="D50" s="131"/>
      <c r="E50" s="130"/>
      <c r="F50" s="88"/>
      <c r="G50" s="88"/>
      <c r="H50" s="88"/>
      <c r="I50" s="88"/>
      <c r="J50" s="88"/>
      <c r="K50" s="88"/>
      <c r="L50" s="88"/>
      <c r="M50" s="88"/>
      <c r="N50" s="88"/>
    </row>
    <row r="51" spans="4:14">
      <c r="D51" s="47"/>
      <c r="E51" s="45"/>
      <c r="F51" s="45"/>
      <c r="G51" s="88"/>
      <c r="H51" s="88"/>
      <c r="I51" s="88"/>
      <c r="J51" s="88"/>
      <c r="K51" s="88"/>
      <c r="L51" s="88"/>
      <c r="N51" s="215" t="s">
        <v>167</v>
      </c>
    </row>
    <row r="52" spans="4:14">
      <c r="D52" s="47"/>
      <c r="E52" s="45"/>
      <c r="F52" s="45"/>
      <c r="G52" s="88"/>
      <c r="H52" s="88"/>
      <c r="I52" s="88"/>
      <c r="J52" s="88"/>
      <c r="K52" s="88"/>
      <c r="L52" s="88"/>
      <c r="M52" s="88"/>
      <c r="N52" s="88"/>
    </row>
    <row r="53" spans="4:14">
      <c r="D53" s="47"/>
      <c r="E53" s="45"/>
      <c r="F53" s="79"/>
      <c r="G53" s="88"/>
      <c r="H53" s="88"/>
      <c r="I53" s="88"/>
      <c r="J53" s="88"/>
      <c r="K53" s="88"/>
      <c r="L53" s="88"/>
      <c r="M53" s="88"/>
      <c r="N53" s="88"/>
    </row>
    <row r="54" spans="4:14">
      <c r="D54" s="47"/>
      <c r="E54" s="45"/>
      <c r="F54" s="79"/>
      <c r="G54" s="88"/>
      <c r="H54" s="88"/>
      <c r="I54" s="88"/>
      <c r="J54" s="88"/>
      <c r="K54" s="88"/>
      <c r="L54" s="88"/>
      <c r="N54" s="88"/>
    </row>
    <row r="55" spans="4:14">
      <c r="D55" s="47"/>
      <c r="E55" s="45"/>
      <c r="F55" s="79"/>
      <c r="G55" s="88"/>
      <c r="H55" s="88"/>
      <c r="I55" s="88"/>
      <c r="J55" s="88"/>
      <c r="K55" s="88"/>
      <c r="L55" s="88"/>
      <c r="M55" s="88"/>
      <c r="N55" s="88"/>
    </row>
    <row r="56" spans="4:14">
      <c r="D56" s="47"/>
      <c r="E56" s="45"/>
      <c r="F56" s="228"/>
      <c r="G56" s="88"/>
      <c r="H56" s="88"/>
      <c r="I56" s="88"/>
      <c r="J56" s="88"/>
      <c r="K56" s="88"/>
      <c r="L56" s="88"/>
      <c r="N56" s="88"/>
    </row>
    <row r="57" spans="4:14">
      <c r="D57" s="47"/>
      <c r="E57" s="45"/>
      <c r="F57" s="228"/>
      <c r="G57" s="88"/>
      <c r="H57" s="88"/>
      <c r="I57" s="88"/>
      <c r="J57" s="88"/>
      <c r="K57" s="88"/>
      <c r="L57" s="88"/>
      <c r="N57" s="88"/>
    </row>
    <row r="58" spans="4:14">
      <c r="D58" s="47"/>
      <c r="E58" s="45"/>
      <c r="F58" s="228"/>
      <c r="G58" s="88"/>
      <c r="H58" s="88"/>
      <c r="I58" s="88"/>
      <c r="J58" s="88"/>
      <c r="K58" s="88"/>
      <c r="L58" s="88"/>
      <c r="N58" s="88"/>
    </row>
    <row r="59" spans="4:14">
      <c r="D59" s="102" t="s">
        <v>368</v>
      </c>
      <c r="F59" s="62"/>
      <c r="G59" s="62"/>
      <c r="H59" s="62"/>
      <c r="I59" s="62"/>
      <c r="J59" s="62"/>
      <c r="K59" s="239"/>
      <c r="L59" s="239"/>
      <c r="M59" s="52"/>
    </row>
    <row r="60" spans="4:14">
      <c r="D60" s="102"/>
      <c r="F60" s="62"/>
      <c r="G60" s="62"/>
      <c r="H60" s="62"/>
      <c r="I60" s="62"/>
      <c r="J60" s="62"/>
      <c r="K60" s="239"/>
      <c r="L60" s="239"/>
      <c r="M60" s="52"/>
    </row>
    <row r="61" spans="4:14">
      <c r="D61" s="102"/>
      <c r="F61" s="62"/>
      <c r="G61" s="62"/>
      <c r="H61" s="62"/>
      <c r="I61" s="62"/>
      <c r="J61" s="62"/>
      <c r="K61" s="239"/>
      <c r="L61" s="239"/>
      <c r="M61" s="52"/>
    </row>
    <row r="62" spans="4:14" ht="13" thickBot="1">
      <c r="D62" s="54"/>
      <c r="E62" s="54"/>
      <c r="F62" s="54"/>
      <c r="G62" s="54"/>
      <c r="H62" s="54"/>
      <c r="I62" s="54"/>
      <c r="J62" s="54"/>
      <c r="K62" s="230"/>
      <c r="L62" s="230"/>
      <c r="M62" s="100"/>
      <c r="N62" s="235"/>
    </row>
    <row r="63" spans="4:14" ht="13" thickTop="1">
      <c r="D63" s="62"/>
      <c r="E63" s="62"/>
      <c r="F63" s="62"/>
      <c r="G63" s="62"/>
      <c r="H63" s="62"/>
      <c r="I63" s="62"/>
      <c r="J63" s="62"/>
      <c r="K63" s="239"/>
      <c r="L63" s="239"/>
      <c r="M63" s="52"/>
    </row>
    <row r="64" spans="4:14">
      <c r="D64" s="62"/>
      <c r="E64" s="62"/>
      <c r="F64" s="243" t="s">
        <v>367</v>
      </c>
      <c r="G64" s="244"/>
      <c r="H64" s="244"/>
      <c r="I64" s="62"/>
      <c r="J64" s="243" t="s">
        <v>366</v>
      </c>
      <c r="K64" s="242"/>
      <c r="L64" s="239"/>
      <c r="M64" s="241" t="s">
        <v>361</v>
      </c>
      <c r="N64" s="240"/>
    </row>
    <row r="65" spans="4:16">
      <c r="F65" s="62"/>
      <c r="G65" s="62"/>
      <c r="H65" s="62"/>
      <c r="I65" s="62"/>
      <c r="J65" s="62"/>
      <c r="K65" s="239"/>
      <c r="L65" s="239"/>
      <c r="M65" s="52"/>
    </row>
    <row r="66" spans="4:16">
      <c r="D66" s="176" t="s">
        <v>286</v>
      </c>
      <c r="E66" s="176" t="s">
        <v>285</v>
      </c>
      <c r="F66" s="49" t="s">
        <v>365</v>
      </c>
      <c r="G66" s="49" t="s">
        <v>364</v>
      </c>
      <c r="H66" s="49" t="s">
        <v>363</v>
      </c>
      <c r="I66" s="49" t="s">
        <v>363</v>
      </c>
      <c r="J66" s="49" t="s">
        <v>362</v>
      </c>
      <c r="K66" s="49"/>
      <c r="L66" s="49"/>
      <c r="M66" s="49" t="s">
        <v>361</v>
      </c>
      <c r="N66" s="210" t="s">
        <v>361</v>
      </c>
    </row>
    <row r="67" spans="4:16">
      <c r="D67" s="176"/>
      <c r="E67" s="176"/>
      <c r="F67" s="49" t="s">
        <v>360</v>
      </c>
      <c r="G67" s="49" t="s">
        <v>359</v>
      </c>
      <c r="H67" s="49" t="s">
        <v>358</v>
      </c>
      <c r="I67" s="49" t="s">
        <v>358</v>
      </c>
      <c r="J67" s="49"/>
      <c r="K67" s="49"/>
      <c r="L67" s="49"/>
      <c r="M67" s="49"/>
      <c r="N67" s="210"/>
      <c r="P67" s="26"/>
    </row>
    <row r="68" spans="4:16" ht="13" thickBot="1">
      <c r="D68" s="171"/>
      <c r="E68" s="171"/>
      <c r="F68" s="71" t="s">
        <v>282</v>
      </c>
      <c r="G68" s="71" t="s">
        <v>282</v>
      </c>
      <c r="H68" s="71" t="s">
        <v>282</v>
      </c>
      <c r="I68" s="71" t="s">
        <v>357</v>
      </c>
      <c r="J68" s="71" t="s">
        <v>282</v>
      </c>
      <c r="K68" s="71" t="s">
        <v>290</v>
      </c>
      <c r="L68" s="71"/>
      <c r="M68" s="71" t="s">
        <v>282</v>
      </c>
      <c r="N68" s="238" t="s">
        <v>281</v>
      </c>
    </row>
    <row r="69" spans="4:16" ht="10.5" customHeight="1" thickTop="1">
      <c r="D69" s="166"/>
      <c r="E69" s="166"/>
      <c r="G69" s="49"/>
      <c r="H69" s="49"/>
      <c r="K69" s="223"/>
      <c r="L69" s="223"/>
      <c r="M69" s="2"/>
    </row>
    <row r="70" spans="4:16">
      <c r="D70" s="160"/>
      <c r="E70" s="160"/>
      <c r="F70" s="49" t="s">
        <v>356</v>
      </c>
      <c r="G70" s="49" t="s">
        <v>355</v>
      </c>
      <c r="H70" s="49" t="s">
        <v>354</v>
      </c>
      <c r="I70" s="49" t="s">
        <v>353</v>
      </c>
      <c r="J70" s="49" t="s">
        <v>352</v>
      </c>
      <c r="K70" s="49" t="s">
        <v>351</v>
      </c>
      <c r="L70" s="49"/>
      <c r="M70" s="49" t="s">
        <v>350</v>
      </c>
      <c r="N70" s="210" t="s">
        <v>349</v>
      </c>
    </row>
    <row r="71" spans="4:16" ht="13" thickBot="1">
      <c r="D71" s="153"/>
      <c r="E71" s="153"/>
      <c r="F71" s="237"/>
      <c r="G71" s="237"/>
      <c r="H71" s="237"/>
      <c r="I71" s="237"/>
      <c r="J71" s="237"/>
      <c r="K71" s="236"/>
      <c r="L71" s="236"/>
      <c r="M71" s="235"/>
      <c r="N71" s="235"/>
    </row>
    <row r="72" spans="4:16" ht="13" thickTop="1">
      <c r="D72" s="234"/>
      <c r="E72" s="234"/>
      <c r="F72" s="76"/>
      <c r="G72" s="76"/>
      <c r="H72" s="76"/>
      <c r="I72" s="76"/>
      <c r="J72" s="76"/>
      <c r="K72" s="233"/>
      <c r="L72" s="233"/>
      <c r="M72" s="51"/>
      <c r="N72" s="51"/>
    </row>
    <row r="73" spans="4:16">
      <c r="D73" s="131" t="s">
        <v>169</v>
      </c>
      <c r="E73" s="130" t="s">
        <v>204</v>
      </c>
      <c r="F73" s="88">
        <v>74.900000000000006</v>
      </c>
      <c r="G73" s="88"/>
      <c r="H73" s="88">
        <f t="shared" ref="H73:H101" si="1">F73+G73</f>
        <v>74.900000000000006</v>
      </c>
      <c r="I73" s="87">
        <f>SUM(H73:H76)</f>
        <v>310.8</v>
      </c>
      <c r="J73" s="88">
        <f>('a-4d'!K14+'a-4d'!K21)/4</f>
        <v>64.974999999999994</v>
      </c>
      <c r="K73" s="88">
        <f>J73+J74+J75+J76</f>
        <v>259.89999999999998</v>
      </c>
      <c r="L73" s="88"/>
      <c r="M73" s="88">
        <v>158.1</v>
      </c>
      <c r="N73" s="88">
        <f>M73+M74+M75+M76</f>
        <v>771.72500000000002</v>
      </c>
    </row>
    <row r="74" spans="4:16">
      <c r="D74" s="131" t="s">
        <v>203</v>
      </c>
      <c r="E74" s="130" t="s">
        <v>202</v>
      </c>
      <c r="F74" s="88">
        <v>76.2</v>
      </c>
      <c r="G74" s="88"/>
      <c r="H74" s="88">
        <f t="shared" si="1"/>
        <v>76.2</v>
      </c>
      <c r="I74" s="88">
        <f>H74+H75+H76+H77</f>
        <v>323.60000000000002</v>
      </c>
      <c r="J74" s="88">
        <f>('a-4d'!K14+'a-4d'!K21)/4</f>
        <v>64.974999999999994</v>
      </c>
      <c r="K74" s="88"/>
      <c r="L74" s="88"/>
      <c r="M74" s="88">
        <v>147.875</v>
      </c>
      <c r="N74" s="87">
        <f>'a-3d'!K29</f>
        <v>768.1</v>
      </c>
      <c r="P74" s="88"/>
    </row>
    <row r="75" spans="4:16">
      <c r="D75" s="131" t="s">
        <v>169</v>
      </c>
      <c r="E75" s="130" t="s">
        <v>201</v>
      </c>
      <c r="F75" s="88">
        <v>74.400000000000006</v>
      </c>
      <c r="G75" s="88"/>
      <c r="H75" s="88">
        <f t="shared" si="1"/>
        <v>74.400000000000006</v>
      </c>
      <c r="I75" s="88"/>
      <c r="J75" s="88">
        <f>('a-4d'!K14+'a-4d'!K21)/4</f>
        <v>64.974999999999994</v>
      </c>
      <c r="K75" s="88"/>
      <c r="L75" s="88"/>
      <c r="M75" s="88">
        <v>149.375</v>
      </c>
      <c r="N75" s="88"/>
      <c r="P75" s="88"/>
    </row>
    <row r="76" spans="4:16">
      <c r="D76" s="131" t="s">
        <v>169</v>
      </c>
      <c r="E76" s="130" t="s">
        <v>200</v>
      </c>
      <c r="F76" s="88">
        <v>84.6</v>
      </c>
      <c r="G76" s="88">
        <v>0.7</v>
      </c>
      <c r="H76" s="88">
        <f t="shared" si="1"/>
        <v>85.3</v>
      </c>
      <c r="I76" s="88"/>
      <c r="J76" s="88">
        <f>('a-4d'!K14+'a-4d'!K21)/4</f>
        <v>64.974999999999994</v>
      </c>
      <c r="K76" s="88"/>
      <c r="L76" s="88"/>
      <c r="M76" s="88">
        <v>316.375</v>
      </c>
      <c r="N76" s="88"/>
      <c r="P76" s="88"/>
    </row>
    <row r="77" spans="4:16">
      <c r="D77" s="131" t="s">
        <v>169</v>
      </c>
      <c r="E77" s="130" t="s">
        <v>199</v>
      </c>
      <c r="F77" s="88">
        <v>85.9</v>
      </c>
      <c r="G77" s="88">
        <v>1.8</v>
      </c>
      <c r="H77" s="88">
        <f t="shared" si="1"/>
        <v>87.7</v>
      </c>
      <c r="I77" s="87">
        <f>SUM(H77:H80)</f>
        <v>360.4</v>
      </c>
      <c r="J77" s="88">
        <f>('a-4d'!L14+'a-4d'!L21)/4</f>
        <v>78.149999999999977</v>
      </c>
      <c r="K77" s="88">
        <f>J77+J78+J79+J80</f>
        <v>312.59999999999991</v>
      </c>
      <c r="L77" s="88"/>
      <c r="M77" s="88">
        <v>154.47499999999999</v>
      </c>
      <c r="N77" s="88">
        <f>M77+M78+M79+M80</f>
        <v>453.57499999999999</v>
      </c>
      <c r="P77" s="88"/>
    </row>
    <row r="78" spans="4:16">
      <c r="D78" s="131" t="s">
        <v>198</v>
      </c>
      <c r="E78" s="130" t="s">
        <v>197</v>
      </c>
      <c r="F78" s="88">
        <v>85.2</v>
      </c>
      <c r="G78" s="88">
        <v>4.8</v>
      </c>
      <c r="H78" s="88">
        <f t="shared" si="1"/>
        <v>90</v>
      </c>
      <c r="I78" s="88">
        <f>H78+H79+H80+H81</f>
        <v>368.5</v>
      </c>
      <c r="J78" s="88">
        <f>('a-4d'!L14+'a-4d'!L21)/4</f>
        <v>78.149999999999977</v>
      </c>
      <c r="K78" s="88"/>
      <c r="L78" s="88"/>
      <c r="M78" s="88">
        <v>54.9</v>
      </c>
      <c r="N78" s="87">
        <f>'a-3d'!L29</f>
        <v>390.3</v>
      </c>
    </row>
    <row r="79" spans="4:16">
      <c r="D79" s="131" t="s">
        <v>169</v>
      </c>
      <c r="E79" s="130" t="s">
        <v>196</v>
      </c>
      <c r="F79" s="88">
        <v>83.9</v>
      </c>
      <c r="G79" s="88">
        <v>8.3000000000000007</v>
      </c>
      <c r="H79" s="88">
        <f t="shared" si="1"/>
        <v>92.2</v>
      </c>
      <c r="I79" s="88"/>
      <c r="J79" s="88">
        <f>('a-4d'!L14+'a-4d'!L21)/4</f>
        <v>78.149999999999977</v>
      </c>
      <c r="K79" s="88"/>
      <c r="L79" s="88"/>
      <c r="M79" s="88">
        <v>59.2</v>
      </c>
      <c r="N79" s="88"/>
    </row>
    <row r="80" spans="4:16">
      <c r="D80" s="131" t="s">
        <v>169</v>
      </c>
      <c r="E80" s="130" t="s">
        <v>195</v>
      </c>
      <c r="F80" s="88">
        <v>77.7</v>
      </c>
      <c r="G80" s="88">
        <v>12.8</v>
      </c>
      <c r="H80" s="88">
        <f t="shared" si="1"/>
        <v>90.5</v>
      </c>
      <c r="I80" s="88"/>
      <c r="J80" s="88">
        <f>('a-4d'!L14+'a-4d'!L21)/4</f>
        <v>78.149999999999977</v>
      </c>
      <c r="K80" s="88"/>
      <c r="L80" s="88"/>
      <c r="M80" s="88">
        <v>185</v>
      </c>
      <c r="N80" s="88"/>
    </row>
    <row r="81" spans="4:17">
      <c r="D81" s="131" t="s">
        <v>169</v>
      </c>
      <c r="E81" s="130" t="s">
        <v>194</v>
      </c>
      <c r="F81" s="88">
        <v>78.8</v>
      </c>
      <c r="G81" s="88">
        <v>17</v>
      </c>
      <c r="H81" s="88">
        <f t="shared" si="1"/>
        <v>95.8</v>
      </c>
      <c r="I81" s="88">
        <f>SUM(H81:H84)</f>
        <v>425.5</v>
      </c>
      <c r="J81" s="88">
        <f>('a-4d'!M14+'a-4d'!M21)/4</f>
        <v>104.05</v>
      </c>
      <c r="K81" s="88">
        <f>J81+J82+J83+J84</f>
        <v>416.2</v>
      </c>
      <c r="L81" s="88"/>
      <c r="M81" s="88">
        <v>91.1</v>
      </c>
      <c r="N81" s="88">
        <f>M81+M82+M83+M84</f>
        <v>372.5</v>
      </c>
    </row>
    <row r="82" spans="4:17">
      <c r="D82" s="131" t="s">
        <v>193</v>
      </c>
      <c r="E82" s="130" t="s">
        <v>192</v>
      </c>
      <c r="F82" s="88">
        <v>72.8</v>
      </c>
      <c r="G82" s="88">
        <v>25.9</v>
      </c>
      <c r="H82" s="88">
        <f t="shared" si="1"/>
        <v>98.699999999999989</v>
      </c>
      <c r="I82" s="88">
        <f>H82+H83+H84+H85</f>
        <v>459.6</v>
      </c>
      <c r="J82" s="88">
        <f>('a-4d'!M14+'a-4d'!M21)/4</f>
        <v>104.05</v>
      </c>
      <c r="K82" s="88"/>
      <c r="L82" s="88"/>
      <c r="M82" s="88">
        <f>41-(60.4/4)</f>
        <v>25.9</v>
      </c>
      <c r="N82" s="87">
        <f>'a-3d'!M29</f>
        <v>352</v>
      </c>
      <c r="Q82" s="26"/>
    </row>
    <row r="83" spans="4:17">
      <c r="D83" s="131" t="s">
        <v>169</v>
      </c>
      <c r="E83" s="130" t="s">
        <v>191</v>
      </c>
      <c r="F83" s="88">
        <v>73.599999999999994</v>
      </c>
      <c r="G83" s="88">
        <v>37.6</v>
      </c>
      <c r="H83" s="88">
        <f t="shared" si="1"/>
        <v>111.19999999999999</v>
      </c>
      <c r="I83" s="88"/>
      <c r="J83" s="88">
        <f>('a-4d'!M14+'a-4d'!M21)/4</f>
        <v>104.05</v>
      </c>
      <c r="K83" s="88"/>
      <c r="L83" s="88"/>
      <c r="M83" s="88">
        <f>137.3-60.4/4</f>
        <v>122.20000000000002</v>
      </c>
      <c r="N83" s="88"/>
    </row>
    <row r="84" spans="4:17">
      <c r="D84" s="131" t="s">
        <v>169</v>
      </c>
      <c r="E84" s="130" t="s">
        <v>190</v>
      </c>
      <c r="F84" s="88">
        <v>74.099999999999994</v>
      </c>
      <c r="G84" s="88">
        <v>45.7</v>
      </c>
      <c r="H84" s="88">
        <f t="shared" si="1"/>
        <v>119.8</v>
      </c>
      <c r="I84" s="88"/>
      <c r="J84" s="88">
        <f>('a-4d'!M14+'a-4d'!M21)/4</f>
        <v>104.05</v>
      </c>
      <c r="K84" s="88"/>
      <c r="L84" s="88"/>
      <c r="M84" s="88">
        <f>148.4-60.4/4</f>
        <v>133.30000000000001</v>
      </c>
      <c r="N84" s="88"/>
    </row>
    <row r="85" spans="4:17">
      <c r="D85" s="131" t="s">
        <v>169</v>
      </c>
      <c r="E85" s="130" t="s">
        <v>189</v>
      </c>
      <c r="F85" s="88">
        <v>79.400000000000006</v>
      </c>
      <c r="G85" s="88">
        <v>50.5</v>
      </c>
      <c r="H85" s="88">
        <f t="shared" si="1"/>
        <v>129.9</v>
      </c>
      <c r="I85" s="88">
        <f>SUM(H85:H88)</f>
        <v>588.9</v>
      </c>
      <c r="J85" s="88">
        <f>('a-4d'!N14+'a-4d'!N21)/4</f>
        <v>147.92500000000001</v>
      </c>
      <c r="K85" s="88">
        <f>J85+J86+J87+J88</f>
        <v>591.70000000000005</v>
      </c>
      <c r="L85" s="88"/>
      <c r="M85" s="88">
        <f>85.7-60.4/4</f>
        <v>70.600000000000009</v>
      </c>
      <c r="N85" s="87">
        <f>M85+M86+M87+M88</f>
        <v>331.9</v>
      </c>
    </row>
    <row r="86" spans="4:17">
      <c r="D86" s="131" t="s">
        <v>188</v>
      </c>
      <c r="E86" s="130" t="s">
        <v>187</v>
      </c>
      <c r="F86" s="88">
        <v>85.4</v>
      </c>
      <c r="G86" s="88">
        <v>58.1</v>
      </c>
      <c r="H86" s="88">
        <f t="shared" si="1"/>
        <v>143.5</v>
      </c>
      <c r="I86" s="88">
        <f>H86+H87+H88+H89</f>
        <v>633.4</v>
      </c>
      <c r="J86" s="88">
        <f>('a-4d'!N14+'a-4d'!N21)/4</f>
        <v>147.92500000000001</v>
      </c>
      <c r="K86" s="88"/>
      <c r="L86" s="88"/>
      <c r="M86" s="88">
        <v>87.1</v>
      </c>
      <c r="N86" s="232">
        <f>'a-3d'!N29</f>
        <v>348.4</v>
      </c>
    </row>
    <row r="87" spans="4:17">
      <c r="D87" s="131" t="s">
        <v>169</v>
      </c>
      <c r="E87" s="130" t="s">
        <v>186</v>
      </c>
      <c r="F87" s="88">
        <v>88.1</v>
      </c>
      <c r="G87" s="88">
        <v>65</v>
      </c>
      <c r="H87" s="88">
        <f t="shared" si="1"/>
        <v>153.1</v>
      </c>
      <c r="I87" s="88"/>
      <c r="J87" s="88">
        <f>('a-4d'!N14+'a-4d'!N21)/4</f>
        <v>147.92500000000001</v>
      </c>
      <c r="K87" s="88"/>
      <c r="L87" s="88"/>
      <c r="M87" s="88">
        <v>87.1</v>
      </c>
      <c r="N87" s="88"/>
    </row>
    <row r="88" spans="4:17">
      <c r="D88" s="131" t="s">
        <v>169</v>
      </c>
      <c r="E88" s="130" t="s">
        <v>185</v>
      </c>
      <c r="F88" s="88">
        <v>92.9</v>
      </c>
      <c r="G88" s="88">
        <v>69.5</v>
      </c>
      <c r="H88" s="88">
        <f t="shared" si="1"/>
        <v>162.4</v>
      </c>
      <c r="I88" s="88"/>
      <c r="J88" s="88">
        <f>('a-4d'!N14+'a-4d'!N21)/4</f>
        <v>147.92500000000001</v>
      </c>
      <c r="K88" s="88"/>
      <c r="L88" s="88"/>
      <c r="M88" s="88">
        <v>87.1</v>
      </c>
      <c r="N88" s="88"/>
    </row>
    <row r="89" spans="4:17">
      <c r="D89" s="131" t="s">
        <v>169</v>
      </c>
      <c r="E89" s="130" t="s">
        <v>184</v>
      </c>
      <c r="F89" s="88">
        <v>94.8</v>
      </c>
      <c r="G89" s="88">
        <v>79.599999999999994</v>
      </c>
      <c r="H89" s="88">
        <f t="shared" si="1"/>
        <v>174.39999999999998</v>
      </c>
      <c r="I89" s="88">
        <f>SUM(H89:H92)</f>
        <v>785.6</v>
      </c>
      <c r="J89" s="88">
        <f>('a-4d'!O14+'a-4d'!O21)/4</f>
        <v>211.65</v>
      </c>
      <c r="K89" s="88">
        <f>J89+J90+J91+J92</f>
        <v>846.6</v>
      </c>
      <c r="L89" s="88"/>
      <c r="M89" s="88">
        <v>87.2</v>
      </c>
      <c r="N89" s="87">
        <f>M89+M90+M91+M92</f>
        <v>593</v>
      </c>
    </row>
    <row r="90" spans="4:17">
      <c r="D90" s="131" t="s">
        <v>183</v>
      </c>
      <c r="E90" s="130" t="s">
        <v>182</v>
      </c>
      <c r="F90" s="88">
        <v>110.3</v>
      </c>
      <c r="G90" s="88">
        <v>87.3</v>
      </c>
      <c r="H90" s="88">
        <f t="shared" si="1"/>
        <v>197.6</v>
      </c>
      <c r="I90" s="88">
        <f>H90+H91+H92+H93</f>
        <v>846.5</v>
      </c>
      <c r="J90" s="88">
        <f>('a-4d'!O14+'a-4d'!O21)/4</f>
        <v>211.65</v>
      </c>
      <c r="K90" s="88"/>
      <c r="L90" s="88"/>
      <c r="M90" s="88">
        <v>168.6</v>
      </c>
      <c r="N90" s="88">
        <f>'a-3d'!O29</f>
        <v>674.4</v>
      </c>
      <c r="P90" s="48"/>
    </row>
    <row r="91" spans="4:17">
      <c r="D91" s="131" t="s">
        <v>169</v>
      </c>
      <c r="E91" s="130" t="s">
        <v>181</v>
      </c>
      <c r="F91" s="88">
        <v>116</v>
      </c>
      <c r="G91" s="88">
        <v>90.5</v>
      </c>
      <c r="H91" s="88">
        <f t="shared" si="1"/>
        <v>206.5</v>
      </c>
      <c r="I91" s="88"/>
      <c r="J91" s="88">
        <f>('a-4d'!O14+'a-4d'!O21)/4</f>
        <v>211.65</v>
      </c>
      <c r="K91" s="88"/>
      <c r="L91" s="88"/>
      <c r="M91" s="88">
        <v>168.6</v>
      </c>
      <c r="N91" s="88"/>
    </row>
    <row r="92" spans="4:17">
      <c r="D92" s="131" t="s">
        <v>169</v>
      </c>
      <c r="E92" s="130" t="s">
        <v>180</v>
      </c>
      <c r="F92" s="88">
        <v>114.7</v>
      </c>
      <c r="G92" s="88">
        <v>92.4</v>
      </c>
      <c r="H92" s="88">
        <f t="shared" si="1"/>
        <v>207.10000000000002</v>
      </c>
      <c r="I92" s="88"/>
      <c r="J92" s="88">
        <f>('a-4d'!O14+'a-4d'!O21)/4</f>
        <v>211.65</v>
      </c>
      <c r="K92" s="88"/>
      <c r="L92" s="88"/>
      <c r="M92" s="88">
        <v>168.6</v>
      </c>
      <c r="N92" s="88"/>
    </row>
    <row r="93" spans="4:17">
      <c r="D93" s="131" t="s">
        <v>169</v>
      </c>
      <c r="E93" s="130" t="s">
        <v>179</v>
      </c>
      <c r="F93" s="88">
        <v>121.5</v>
      </c>
      <c r="G93" s="88">
        <v>113.8</v>
      </c>
      <c r="H93" s="88">
        <f t="shared" si="1"/>
        <v>235.3</v>
      </c>
      <c r="I93" s="88">
        <f>SUM(H93:H96)</f>
        <v>958.5</v>
      </c>
      <c r="J93" s="88">
        <f>('a-4d'!P14+'a-4d'!P21)/4</f>
        <v>249.04999999999998</v>
      </c>
      <c r="K93" s="88">
        <f>J94+J95+J96+J97</f>
        <v>752.19999999999993</v>
      </c>
      <c r="L93" s="88"/>
      <c r="M93" s="88">
        <v>168.6</v>
      </c>
      <c r="N93" s="88">
        <f>M93+M94+M95+M96</f>
        <v>636.9</v>
      </c>
    </row>
    <row r="94" spans="4:17">
      <c r="D94" s="131" t="s">
        <v>178</v>
      </c>
      <c r="E94" s="130" t="s">
        <v>177</v>
      </c>
      <c r="F94" s="88">
        <v>231.2</v>
      </c>
      <c r="G94" s="88">
        <v>-2.2000000000000002</v>
      </c>
      <c r="H94" s="88">
        <f t="shared" si="1"/>
        <v>229</v>
      </c>
      <c r="I94" s="88">
        <f>H94+H95+H96+H97</f>
        <v>996.3</v>
      </c>
      <c r="J94" s="88">
        <f>('a-4d'!P14+'a-4d'!P21)/4</f>
        <v>249.04999999999998</v>
      </c>
      <c r="K94" s="88"/>
      <c r="L94" s="88"/>
      <c r="M94" s="88">
        <v>156.1</v>
      </c>
      <c r="N94" s="88">
        <f>'a-3d'!P29</f>
        <v>624.4</v>
      </c>
    </row>
    <row r="95" spans="4:17">
      <c r="D95" s="131" t="s">
        <v>169</v>
      </c>
      <c r="E95" s="130" t="s">
        <v>176</v>
      </c>
      <c r="F95" s="88">
        <v>249.1</v>
      </c>
      <c r="G95" s="88">
        <v>-5.3</v>
      </c>
      <c r="H95" s="88">
        <f t="shared" si="1"/>
        <v>243.79999999999998</v>
      </c>
      <c r="I95" s="88"/>
      <c r="J95" s="88">
        <f>('a-4d'!P14+'a-4d'!P21)/4</f>
        <v>249.04999999999998</v>
      </c>
      <c r="K95" s="88"/>
      <c r="L95" s="88"/>
      <c r="M95" s="88">
        <v>156.1</v>
      </c>
      <c r="N95" s="88"/>
    </row>
    <row r="96" spans="4:17">
      <c r="D96" s="131" t="s">
        <v>169</v>
      </c>
      <c r="E96" s="130" t="s">
        <v>175</v>
      </c>
      <c r="F96" s="88">
        <v>257.5</v>
      </c>
      <c r="G96" s="88">
        <v>-7.1</v>
      </c>
      <c r="H96" s="88">
        <f t="shared" si="1"/>
        <v>250.4</v>
      </c>
      <c r="I96" s="88"/>
      <c r="J96" s="88">
        <f>('a-4d'!P14+'a-4d'!P21)/4</f>
        <v>249.04999999999998</v>
      </c>
      <c r="K96" s="88"/>
      <c r="L96" s="88"/>
      <c r="M96" s="88">
        <v>156.1</v>
      </c>
      <c r="N96" s="88"/>
    </row>
    <row r="97" spans="4:14">
      <c r="D97" s="131" t="s">
        <v>169</v>
      </c>
      <c r="E97" s="130" t="s">
        <v>174</v>
      </c>
      <c r="F97" s="88">
        <v>271.5</v>
      </c>
      <c r="G97" s="88">
        <v>1.6</v>
      </c>
      <c r="H97" s="88">
        <f t="shared" si="1"/>
        <v>273.10000000000002</v>
      </c>
      <c r="I97" s="231">
        <f>SUM(H97:H100)</f>
        <v>1291.8</v>
      </c>
      <c r="J97" s="88">
        <f>('a-4d'!Q14+'a-4d'!Q21)/4</f>
        <v>5.05</v>
      </c>
      <c r="K97" s="88">
        <f>J98+J99+J100+J101</f>
        <v>15.149999999999999</v>
      </c>
      <c r="L97" s="88"/>
      <c r="M97" s="88">
        <v>156.1</v>
      </c>
      <c r="N97" s="88">
        <f>M97+M98+M99+M100</f>
        <v>852.1</v>
      </c>
    </row>
    <row r="98" spans="4:14">
      <c r="D98" s="131" t="s">
        <v>173</v>
      </c>
      <c r="E98" s="130" t="s">
        <v>172</v>
      </c>
      <c r="F98" s="88">
        <v>319.2</v>
      </c>
      <c r="G98" s="88">
        <v>-4.5</v>
      </c>
      <c r="H98" s="88">
        <f t="shared" si="1"/>
        <v>314.7</v>
      </c>
      <c r="I98" s="88">
        <f>H98+H99+H100+H101</f>
        <v>1426</v>
      </c>
      <c r="J98" s="88">
        <f>('a-4d'!Q14+'a-4d'!Q21)/4</f>
        <v>5.05</v>
      </c>
      <c r="K98" s="88"/>
      <c r="L98" s="88"/>
      <c r="M98" s="88">
        <v>232</v>
      </c>
      <c r="N98" s="88">
        <f>'a-3d'!Q29</f>
        <v>928</v>
      </c>
    </row>
    <row r="99" spans="4:14">
      <c r="D99" s="131" t="s">
        <v>169</v>
      </c>
      <c r="E99" s="130" t="s">
        <v>171</v>
      </c>
      <c r="F99" s="88">
        <v>323.60000000000002</v>
      </c>
      <c r="G99" s="88">
        <v>6.9</v>
      </c>
      <c r="H99" s="231">
        <f t="shared" si="1"/>
        <v>330.5</v>
      </c>
      <c r="I99" s="88"/>
      <c r="J99" s="88">
        <f>('a-4d'!Q14+'a-4d'!Q21)/4</f>
        <v>5.05</v>
      </c>
      <c r="K99" s="88"/>
      <c r="L99" s="88"/>
      <c r="M99" s="88">
        <v>232</v>
      </c>
      <c r="N99" s="88"/>
    </row>
    <row r="100" spans="4:14">
      <c r="D100" s="131" t="s">
        <v>169</v>
      </c>
      <c r="E100" s="130" t="s">
        <v>170</v>
      </c>
      <c r="F100" s="88">
        <v>364.6</v>
      </c>
      <c r="G100" s="88">
        <v>8.9</v>
      </c>
      <c r="H100" s="88">
        <f t="shared" si="1"/>
        <v>373.5</v>
      </c>
      <c r="I100" s="88"/>
      <c r="J100" s="88">
        <f>('a-4d'!Q14+'a-4d'!Q21)/4</f>
        <v>5.05</v>
      </c>
      <c r="K100" s="88"/>
      <c r="L100" s="88"/>
      <c r="M100" s="88">
        <v>232</v>
      </c>
      <c r="N100" s="88"/>
    </row>
    <row r="101" spans="4:14">
      <c r="D101" s="131" t="s">
        <v>169</v>
      </c>
      <c r="E101" s="130" t="s">
        <v>168</v>
      </c>
      <c r="F101" s="88">
        <v>398.4</v>
      </c>
      <c r="G101" s="88">
        <v>8.9</v>
      </c>
      <c r="H101" s="88">
        <f t="shared" si="1"/>
        <v>407.29999999999995</v>
      </c>
      <c r="I101" s="88"/>
      <c r="J101" s="88"/>
      <c r="K101" s="88"/>
      <c r="L101" s="88"/>
      <c r="M101" s="88">
        <v>232</v>
      </c>
      <c r="N101" s="88"/>
    </row>
    <row r="102" spans="4:14" ht="13" thickBot="1">
      <c r="D102" s="127"/>
      <c r="E102" s="127"/>
      <c r="F102" s="54"/>
      <c r="G102" s="54"/>
      <c r="H102" s="54"/>
      <c r="I102" s="54"/>
      <c r="J102" s="54"/>
      <c r="K102" s="54"/>
      <c r="L102" s="54"/>
      <c r="M102" s="54"/>
      <c r="N102" s="230"/>
    </row>
    <row r="103" spans="4:14" ht="13" thickTop="1">
      <c r="F103" s="45"/>
      <c r="G103" s="45"/>
      <c r="H103" s="45"/>
      <c r="I103" s="45"/>
      <c r="J103" s="45"/>
      <c r="K103" s="45"/>
      <c r="L103" s="45"/>
      <c r="M103" s="45"/>
      <c r="N103" s="44"/>
    </row>
    <row r="104" spans="4:14">
      <c r="D104" s="47"/>
      <c r="G104" s="45"/>
      <c r="H104" s="45"/>
      <c r="I104" s="45"/>
      <c r="J104" s="45"/>
      <c r="K104" s="45"/>
      <c r="L104" s="45"/>
      <c r="M104" s="45"/>
      <c r="N104" s="44"/>
    </row>
    <row r="105" spans="4:14">
      <c r="G105" s="45"/>
      <c r="H105" s="45"/>
      <c r="I105" s="45"/>
      <c r="J105" s="45"/>
      <c r="K105" s="45"/>
      <c r="L105" s="45"/>
      <c r="M105" s="45"/>
      <c r="N105" s="44"/>
    </row>
    <row r="106" spans="4:14">
      <c r="D106" s="47"/>
      <c r="E106" s="45"/>
      <c r="F106" s="228"/>
      <c r="G106" s="45"/>
      <c r="H106" s="45"/>
      <c r="I106" s="45"/>
      <c r="J106" s="45"/>
      <c r="K106" s="45"/>
      <c r="L106" s="45"/>
      <c r="M106" s="45"/>
      <c r="N106" s="44"/>
    </row>
    <row r="107" spans="4:14">
      <c r="D107" s="47"/>
      <c r="E107" s="227"/>
      <c r="F107" s="228"/>
      <c r="G107" s="45"/>
      <c r="H107" s="45"/>
      <c r="I107" s="45"/>
      <c r="J107" s="45"/>
      <c r="K107" s="44"/>
      <c r="L107" s="44"/>
      <c r="M107" s="224"/>
      <c r="N107" s="48"/>
    </row>
    <row r="108" spans="4:14">
      <c r="D108" s="229"/>
      <c r="E108" s="227"/>
      <c r="F108" s="79"/>
      <c r="G108" s="45"/>
      <c r="H108" s="45"/>
      <c r="I108" s="45"/>
      <c r="J108" s="45"/>
      <c r="K108" s="44"/>
      <c r="L108" s="44"/>
      <c r="M108" s="224"/>
      <c r="N108" s="48"/>
    </row>
    <row r="109" spans="4:14">
      <c r="D109" s="47"/>
      <c r="E109" s="45"/>
      <c r="F109" s="228"/>
      <c r="G109" s="45"/>
      <c r="H109" s="45"/>
      <c r="I109" s="45"/>
      <c r="J109" s="45"/>
      <c r="K109" s="44"/>
      <c r="L109" s="44"/>
      <c r="M109" s="224"/>
      <c r="N109" s="48"/>
    </row>
    <row r="110" spans="4:14">
      <c r="D110" s="47"/>
      <c r="E110" s="48"/>
      <c r="F110" s="228"/>
      <c r="G110" s="45"/>
      <c r="H110" s="45"/>
      <c r="I110" s="45"/>
      <c r="J110" s="45"/>
      <c r="K110" s="44"/>
      <c r="L110" s="44"/>
      <c r="M110" s="224"/>
      <c r="N110" s="48"/>
    </row>
    <row r="111" spans="4:14">
      <c r="D111" s="47"/>
      <c r="E111" s="47"/>
      <c r="F111" s="46"/>
      <c r="G111" s="45"/>
      <c r="H111" s="45"/>
      <c r="I111" s="45"/>
      <c r="J111" s="45"/>
      <c r="K111" s="44"/>
      <c r="L111" s="44"/>
      <c r="M111" s="224"/>
      <c r="N111" s="48"/>
    </row>
    <row r="112" spans="4:14">
      <c r="G112" s="2"/>
      <c r="H112" s="2"/>
      <c r="I112" s="2"/>
      <c r="J112" s="45"/>
      <c r="K112" s="44"/>
      <c r="L112" s="44"/>
      <c r="M112" s="224"/>
      <c r="N112" s="48"/>
    </row>
    <row r="113" spans="7:14">
      <c r="G113" s="45"/>
      <c r="H113" s="45"/>
      <c r="I113" s="45"/>
      <c r="J113" s="45"/>
      <c r="K113" s="44"/>
      <c r="L113" s="44"/>
      <c r="M113" s="224"/>
      <c r="N113" s="48"/>
    </row>
    <row r="114" spans="7:14">
      <c r="G114" s="45"/>
      <c r="H114" s="45"/>
      <c r="I114" s="45"/>
      <c r="J114" s="45"/>
      <c r="K114" s="44"/>
      <c r="L114" s="44"/>
      <c r="M114" s="224"/>
      <c r="N114" s="48"/>
    </row>
    <row r="115" spans="7:14">
      <c r="G115" s="45"/>
      <c r="H115" s="45"/>
      <c r="I115" s="45"/>
      <c r="J115" s="45"/>
      <c r="K115" s="44"/>
      <c r="L115" s="44"/>
      <c r="M115" s="224"/>
      <c r="N115" s="48"/>
    </row>
    <row r="116" spans="7:14">
      <c r="G116" s="227"/>
      <c r="H116" s="227"/>
      <c r="I116" s="227"/>
      <c r="J116" s="227"/>
      <c r="K116" s="226"/>
      <c r="L116" s="226"/>
      <c r="M116" s="225"/>
      <c r="N116" s="48"/>
    </row>
    <row r="117" spans="7:14">
      <c r="G117" s="227"/>
      <c r="H117" s="227"/>
      <c r="I117" s="227"/>
      <c r="J117" s="227"/>
      <c r="K117" s="226"/>
      <c r="L117" s="226"/>
      <c r="M117" s="225"/>
      <c r="N117" s="48"/>
    </row>
    <row r="118" spans="7:14">
      <c r="G118" s="45"/>
      <c r="H118" s="45"/>
      <c r="I118" s="45"/>
      <c r="J118" s="45"/>
      <c r="K118" s="44"/>
      <c r="L118" s="44"/>
      <c r="M118" s="224"/>
      <c r="N118" s="48"/>
    </row>
    <row r="119" spans="7:14">
      <c r="G119" s="48"/>
      <c r="H119" s="48"/>
      <c r="I119" s="48"/>
      <c r="J119" s="48"/>
      <c r="K119" s="44"/>
      <c r="L119" s="44"/>
      <c r="M119" s="224"/>
      <c r="N119" s="48"/>
    </row>
    <row r="122" spans="7:14">
      <c r="I122" s="2"/>
    </row>
  </sheetData>
  <sheetProtection sheet="1" objects="1" scenarios="1"/>
  <pageMargins left="0" right="0" top="0.98425196850393704" bottom="0.98425196850393704" header="0.51181102362204722" footer="0.51181102362204722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28</vt:i4>
      </vt:variant>
    </vt:vector>
  </HeadingPairs>
  <TitlesOfParts>
    <vt:vector size="28" baseType="lpstr">
      <vt:lpstr>ReadMe</vt:lpstr>
      <vt:lpstr>a-1d</vt:lpstr>
      <vt:lpstr>a-2d</vt:lpstr>
      <vt:lpstr>a-3d</vt:lpstr>
      <vt:lpstr>a-4d</vt:lpstr>
      <vt:lpstr>a-5d</vt:lpstr>
      <vt:lpstr>a-6</vt:lpstr>
      <vt:lpstr>a-7</vt:lpstr>
      <vt:lpstr>a-8</vt:lpstr>
      <vt:lpstr>a-9</vt:lpstr>
      <vt:lpstr>a-10</vt:lpstr>
      <vt:lpstr>a-11</vt:lpstr>
      <vt:lpstr>a-12</vt:lpstr>
      <vt:lpstr>b-1d</vt:lpstr>
      <vt:lpstr>b-2d</vt:lpstr>
      <vt:lpstr>b-3d</vt:lpstr>
      <vt:lpstr>b-4d</vt:lpstr>
      <vt:lpstr>b-5d</vt:lpstr>
      <vt:lpstr>b-6d</vt:lpstr>
      <vt:lpstr>b-7d</vt:lpstr>
      <vt:lpstr>b-8d</vt:lpstr>
      <vt:lpstr>b-9d</vt:lpstr>
      <vt:lpstr>C11</vt:lpstr>
      <vt:lpstr>C12</vt:lpstr>
      <vt:lpstr>C13</vt:lpstr>
      <vt:lpstr>C2</vt:lpstr>
      <vt:lpstr>D.1.</vt:lpstr>
      <vt:lpstr>Legend to D.1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Zucman</dc:creator>
  <cp:lastModifiedBy>Gabriel Zucman</cp:lastModifiedBy>
  <dcterms:created xsi:type="dcterms:W3CDTF">2012-05-18T16:35:08Z</dcterms:created>
  <dcterms:modified xsi:type="dcterms:W3CDTF">2012-09-10T18:11:56Z</dcterms:modified>
</cp:coreProperties>
</file>