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firstSheet="5" activeTab="15"/>
  </bookViews>
  <sheets>
    <sheet name="TableB1" sheetId="1" r:id="rId1"/>
    <sheet name="TableB2" sheetId="2" r:id="rId2"/>
    <sheet name="TableB3" sheetId="3" r:id="rId3"/>
    <sheet name="TableB4" sheetId="4" r:id="rId4"/>
    <sheet name="TableB5" sheetId="5" r:id="rId5"/>
    <sheet name="TableB6" sheetId="6" r:id="rId6"/>
    <sheet name="TableB7" sheetId="7" r:id="rId7"/>
    <sheet name="TableB8" sheetId="8" r:id="rId8"/>
    <sheet name="TableB9" sheetId="9" r:id="rId9"/>
    <sheet name="TableB10" sheetId="10" r:id="rId10"/>
    <sheet name="TableB11" sheetId="11" r:id="rId11"/>
    <sheet name="TableB12" sheetId="12" r:id="rId12"/>
    <sheet name="TableB13" sheetId="13" r:id="rId13"/>
    <sheet name="TableB14" sheetId="14" r:id="rId14"/>
    <sheet name="TableB15" sheetId="15" r:id="rId15"/>
    <sheet name="TableB16" sheetId="16" r:id="rId16"/>
    <sheet name="TableB17" sheetId="17" r:id="rId17"/>
    <sheet name="TableB18" sheetId="18" r:id="rId18"/>
    <sheet name="TableB19" sheetId="19" r:id="rId19"/>
    <sheet name="TableB20" sheetId="20" r:id="rId20"/>
    <sheet name="TableB21(0%)" sheetId="21" r:id="rId21"/>
    <sheet name="TableB21(3%)" sheetId="22" r:id="rId22"/>
    <sheet name="TableB21(5%)" sheetId="23" r:id="rId23"/>
    <sheet name="FigureB1" sheetId="24" r:id="rId24"/>
    <sheet name="FigureB2" sheetId="25" r:id="rId25"/>
  </sheets>
  <externalReferences>
    <externalReference r:id="rId28"/>
    <externalReference r:id="rId29"/>
    <externalReference r:id="rId30"/>
  </externalReferences>
  <definedNames>
    <definedName name="column_headings">#REF!</definedName>
    <definedName name="column_numbers">#REF!</definedName>
    <definedName name="data">#REF!</definedName>
    <definedName name="data2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emp">#REF!</definedName>
    <definedName name="titles">#REF!</definedName>
    <definedName name="totals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<sst xmlns="http://schemas.openxmlformats.org/spreadsheetml/2006/main" count="1744" uniqueCount="617">
  <si>
    <t>(all decedents)</t>
  </si>
  <si>
    <t>Aggregate inheritance flow (millions)</t>
  </si>
  <si>
    <t>(current francs)</t>
  </si>
  <si>
    <t>N. children estate (less than 20-yr-old)</t>
  </si>
  <si>
    <t>(1912 francs)</t>
  </si>
  <si>
    <r>
      <t xml:space="preserve">Consumer price index </t>
    </r>
    <r>
      <rPr>
        <sz val="10"/>
        <rFont val="Arial"/>
        <family val="2"/>
      </rPr>
      <t>(1912=100)</t>
    </r>
  </si>
  <si>
    <t>% women in decedents</t>
  </si>
  <si>
    <t>(men &amp; women)</t>
  </si>
  <si>
    <t>(men)</t>
  </si>
  <si>
    <t>(women)</t>
  </si>
  <si>
    <t>Wealth ratio men/women</t>
  </si>
  <si>
    <t>Average age of women decedents</t>
  </si>
  <si>
    <t>Average age of men decedents</t>
  </si>
  <si>
    <t>Average age of men+women decedents</t>
  </si>
  <si>
    <t>Average age of decedents (France)</t>
  </si>
  <si>
    <t>(men + women)</t>
  </si>
  <si>
    <t>% with marital status = M (married), V (widows), D (divorced) or C (single)</t>
  </si>
  <si>
    <t>Average age by marital status</t>
  </si>
  <si>
    <t>men + women</t>
  </si>
  <si>
    <t>M</t>
  </si>
  <si>
    <t>V</t>
  </si>
  <si>
    <t>D</t>
  </si>
  <si>
    <t>C</t>
  </si>
  <si>
    <t>20-29</t>
  </si>
  <si>
    <t>30-39</t>
  </si>
  <si>
    <t>40-49</t>
  </si>
  <si>
    <t>50-59</t>
  </si>
  <si>
    <t>60-69</t>
  </si>
  <si>
    <t>70-79</t>
  </si>
  <si>
    <t>80+</t>
  </si>
  <si>
    <t xml:space="preserve">number of decedents by age group </t>
  </si>
  <si>
    <t>average estate (all decedents) by age group (current francs)</t>
  </si>
  <si>
    <t>average estate (all decedents) by age group (50-59=100)</t>
  </si>
  <si>
    <t>P60</t>
  </si>
  <si>
    <t>P70</t>
  </si>
  <si>
    <t>P80</t>
  </si>
  <si>
    <t>P90</t>
  </si>
  <si>
    <t>P95</t>
  </si>
  <si>
    <t>P99</t>
  </si>
  <si>
    <t>P99.9</t>
  </si>
  <si>
    <t>P50</t>
  </si>
  <si>
    <t>P50-60</t>
  </si>
  <si>
    <t>P60-70</t>
  </si>
  <si>
    <t>P70-80</t>
  </si>
  <si>
    <t>P80-90</t>
  </si>
  <si>
    <t>P90-95</t>
  </si>
  <si>
    <t>P95-99</t>
  </si>
  <si>
    <t>P99-99.9</t>
  </si>
  <si>
    <t>P99.9-100</t>
  </si>
  <si>
    <t>Percentiles thresholds (current francs)</t>
  </si>
  <si>
    <t>P0-50</t>
  </si>
  <si>
    <t>P0</t>
  </si>
  <si>
    <t xml:space="preserve">Liabilities as a fraction of gross assets  </t>
  </si>
  <si>
    <t>All</t>
  </si>
  <si>
    <t>All men</t>
  </si>
  <si>
    <t xml:space="preserve">Real estate assets as a fraction of gross assets  </t>
  </si>
  <si>
    <t xml:space="preserve">Average gross assets </t>
  </si>
  <si>
    <t>Average liabilities</t>
  </si>
  <si>
    <t xml:space="preserve">Average real estate assets </t>
  </si>
  <si>
    <t xml:space="preserve">Average personal estate assets </t>
  </si>
  <si>
    <t>n</t>
  </si>
  <si>
    <t>netestate</t>
  </si>
  <si>
    <t>grossassets</t>
  </si>
  <si>
    <t>liabilities</t>
  </si>
  <si>
    <t>realestate</t>
  </si>
  <si>
    <t>(% average gross assets)</t>
  </si>
  <si>
    <t xml:space="preserve">N. obs. </t>
  </si>
  <si>
    <t>inc. Foreign equity</t>
  </si>
  <si>
    <t>inc. Foreign private bonds</t>
  </si>
  <si>
    <t>inc. Foreign govt bonds</t>
  </si>
  <si>
    <t>inc. Cash</t>
  </si>
  <si>
    <t>inc. Pension income</t>
  </si>
  <si>
    <t>(as a fraction of total gross assets)</t>
  </si>
  <si>
    <t>equity</t>
  </si>
  <si>
    <t>cashtotal</t>
  </si>
  <si>
    <t>othertotal</t>
  </si>
  <si>
    <t>furnitures</t>
  </si>
  <si>
    <t>(2) Financial assets</t>
  </si>
  <si>
    <t>(1)     Real estate assets</t>
  </si>
  <si>
    <t>(3) Furnitures</t>
  </si>
  <si>
    <t>inc.:    (2a) Equity</t>
  </si>
  <si>
    <t>inc.:   (2b) Private bonds</t>
  </si>
  <si>
    <t>inc.:    (2c)   Govt bonds</t>
  </si>
  <si>
    <t>inc. Pers. bonds &amp; loans</t>
  </si>
  <si>
    <t>inc. Other current income</t>
  </si>
  <si>
    <t>(0)     Liabilities</t>
  </si>
  <si>
    <t>cash</t>
  </si>
  <si>
    <t>dowries</t>
  </si>
  <si>
    <t>pension</t>
  </si>
  <si>
    <t>otherincome</t>
  </si>
  <si>
    <t>inc.:    (2d) Cash &amp; bank accou.</t>
  </si>
  <si>
    <t>Memo: Total foreign assets</t>
  </si>
  <si>
    <t>inc. Paris real estate</t>
  </si>
  <si>
    <t>inc. Out-of-Paris real estate</t>
  </si>
  <si>
    <t>(memo: all deced., France)</t>
  </si>
  <si>
    <t>Average estate (net estate&gt;0)</t>
  </si>
  <si>
    <t>N. decedents with net estate&lt;0 (&amp; 20-yr +)</t>
  </si>
  <si>
    <t>Average net estate&lt;0</t>
  </si>
  <si>
    <t>Average children net estate</t>
  </si>
  <si>
    <t>% negative net estate flow in aggregate inheritance flow</t>
  </si>
  <si>
    <t>% children estate flow in aggregate inheritance flow</t>
  </si>
  <si>
    <t>(net estate&gt;0)</t>
  </si>
  <si>
    <t>% decedents with net estate&gt;0</t>
  </si>
  <si>
    <t>men only</t>
  </si>
  <si>
    <t>women only</t>
  </si>
  <si>
    <t>average estate (net estate&gt;0) by age group (current francs)</t>
  </si>
  <si>
    <t>average estate (net estate&gt;0) by age group (50-59=100)</t>
  </si>
  <si>
    <t>% of decedents with net estate&gt;0 by age group</t>
  </si>
  <si>
    <t xml:space="preserve">number of decedents with net estate&gt;0 by age group </t>
  </si>
  <si>
    <t>standard deviation of estates (net estate&gt;0) by age group</t>
  </si>
  <si>
    <t>(standard deviation)/(average estate) (net estate&gt;0) by age group</t>
  </si>
  <si>
    <t>(standard error)/(average estate) (net estate&gt;0) by age group</t>
  </si>
  <si>
    <t xml:space="preserve">% married decedents by age group </t>
  </si>
  <si>
    <t>Full sample (all decedents with net estate&gt;0)</t>
  </si>
  <si>
    <t>Subsample of decedents with net estate&gt;0 &amp; detailed asset data (weighted averages)</t>
  </si>
  <si>
    <t>Sampling rate</t>
  </si>
  <si>
    <t>Ratios (subsample weighted averages)/(full sample averages)</t>
  </si>
  <si>
    <t xml:space="preserve">Average net estate </t>
  </si>
  <si>
    <t>Total</t>
  </si>
  <si>
    <t>N. obs. in subsample by marital status</t>
  </si>
  <si>
    <t>Not Av.</t>
  </si>
  <si>
    <t>% subsample by marital status</t>
  </si>
  <si>
    <t>netestate60</t>
  </si>
  <si>
    <t>netestate70</t>
  </si>
  <si>
    <t>netestate80</t>
  </si>
  <si>
    <t>netestate90</t>
  </si>
  <si>
    <t>netestate95</t>
  </si>
  <si>
    <t>netestate99</t>
  </si>
  <si>
    <t>netestate999</t>
  </si>
  <si>
    <t>Number of full-sample observations by fractile (net estate&gt;0)</t>
  </si>
  <si>
    <t>Target sampling rates by fractile (net estate&gt;0)</t>
  </si>
  <si>
    <t>samplingrate60</t>
  </si>
  <si>
    <t>samplingrate70</t>
  </si>
  <si>
    <t>samplingrate80</t>
  </si>
  <si>
    <t>samplingrate90</t>
  </si>
  <si>
    <t>samplingrate95</t>
  </si>
  <si>
    <t>samplingrate99</t>
  </si>
  <si>
    <t>samplingrate999</t>
  </si>
  <si>
    <t>samplingrate</t>
  </si>
  <si>
    <t>mat0</t>
  </si>
  <si>
    <t>matM0</t>
  </si>
  <si>
    <t>matC0</t>
  </si>
  <si>
    <t>matV0</t>
  </si>
  <si>
    <t>matD0</t>
  </si>
  <si>
    <t>com010</t>
  </si>
  <si>
    <t>com011</t>
  </si>
  <si>
    <t>com012</t>
  </si>
  <si>
    <t>com013</t>
  </si>
  <si>
    <t>com014</t>
  </si>
  <si>
    <t>com01</t>
  </si>
  <si>
    <t>% subsample with community assets &gt;0 (weighted)</t>
  </si>
  <si>
    <t>% subsample with community assets &gt;0 (unweighted)</t>
  </si>
  <si>
    <t>All married decedents (men + women)</t>
  </si>
  <si>
    <t>% decedents with community assets &gt;0 (weighted)</t>
  </si>
  <si>
    <t>com0160</t>
  </si>
  <si>
    <t>com0170</t>
  </si>
  <si>
    <t>com0180</t>
  </si>
  <si>
    <t>com0190</t>
  </si>
  <si>
    <t>com0195</t>
  </si>
  <si>
    <t>com0199</t>
  </si>
  <si>
    <t>com01999</t>
  </si>
  <si>
    <t>All married decedents (men only)</t>
  </si>
  <si>
    <t>comliabilities</t>
  </si>
  <si>
    <t>comrealestate</t>
  </si>
  <si>
    <t>comequity</t>
  </si>
  <si>
    <t>comcash</t>
  </si>
  <si>
    <t>comdowries</t>
  </si>
  <si>
    <t>compension</t>
  </si>
  <si>
    <t>comfurnitures</t>
  </si>
  <si>
    <t>All subsample married decedents with net estate&gt;0 &amp; community assets&gt;0</t>
  </si>
  <si>
    <t xml:space="preserve">N. obs.  </t>
  </si>
  <si>
    <r>
      <t xml:space="preserve">Average net estate </t>
    </r>
    <r>
      <rPr>
        <sz val="10"/>
        <rFont val="Arial"/>
        <family val="2"/>
      </rPr>
      <t>(reported)</t>
    </r>
  </si>
  <si>
    <t>comestate</t>
  </si>
  <si>
    <r>
      <t xml:space="preserve">Average net estate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</si>
  <si>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t>Ratio</t>
  </si>
  <si>
    <r>
      <t xml:space="preserve">Average com. estate </t>
    </r>
    <r>
      <rPr>
        <sz val="10"/>
        <rFont val="Arial"/>
        <family val="2"/>
      </rPr>
      <t>(reported)</t>
    </r>
  </si>
  <si>
    <r>
      <t xml:space="preserve">Average com. estate </t>
    </r>
    <r>
      <rPr>
        <sz val="10"/>
        <rFont val="Arial Narrow"/>
        <family val="2"/>
      </rPr>
      <t>(computed)</t>
    </r>
  </si>
  <si>
    <t>com. share</t>
  </si>
  <si>
    <t>(reported)</t>
  </si>
  <si>
    <t>(computed)</t>
  </si>
  <si>
    <t>ratio</t>
  </si>
  <si>
    <t>P99-100</t>
  </si>
  <si>
    <t>P90-99</t>
  </si>
  <si>
    <t>ndecneg</t>
  </si>
  <si>
    <t>netestatetemp1</t>
  </si>
  <si>
    <t>ndecchil</t>
  </si>
  <si>
    <t>netestatetemp2</t>
  </si>
  <si>
    <t>ndec</t>
  </si>
  <si>
    <t>ndecpos</t>
  </si>
  <si>
    <t>netestatepos</t>
  </si>
  <si>
    <t>sex</t>
  </si>
  <si>
    <t>sexpos</t>
  </si>
  <si>
    <t>(net estate=0)</t>
  </si>
  <si>
    <t>netestateposmen</t>
  </si>
  <si>
    <t>netestateposwomen</t>
  </si>
  <si>
    <t>age</t>
  </si>
  <si>
    <t>agepos</t>
  </si>
  <si>
    <t>age01</t>
  </si>
  <si>
    <t>age01pos</t>
  </si>
  <si>
    <t>mat01</t>
  </si>
  <si>
    <t>matM</t>
  </si>
  <si>
    <t>matV</t>
  </si>
  <si>
    <t>matD</t>
  </si>
  <si>
    <t>matC</t>
  </si>
  <si>
    <t>ageM</t>
  </si>
  <si>
    <t>ageV</t>
  </si>
  <si>
    <t>ageD</t>
  </si>
  <si>
    <t>ageC</t>
  </si>
  <si>
    <t xml:space="preserve">% age group in total number of decedents </t>
  </si>
  <si>
    <t>netestate20</t>
  </si>
  <si>
    <t>netestate30</t>
  </si>
  <si>
    <t>netestate40</t>
  </si>
  <si>
    <t>netestate50</t>
  </si>
  <si>
    <t xml:space="preserve">% age group in total number of decedents with net estate&gt;0 </t>
  </si>
  <si>
    <t>matM20</t>
  </si>
  <si>
    <t>matM30</t>
  </si>
  <si>
    <t>matM40</t>
  </si>
  <si>
    <t>matM50</t>
  </si>
  <si>
    <t>matM60</t>
  </si>
  <si>
    <t>matM70</t>
  </si>
  <si>
    <t>matM80</t>
  </si>
  <si>
    <t xml:space="preserve">Wealth shares per intemerdiate fractile </t>
  </si>
  <si>
    <t xml:space="preserve">Wealth shares per top fractile </t>
  </si>
  <si>
    <t>P0-100</t>
  </si>
  <si>
    <t>P50-100</t>
  </si>
  <si>
    <t>P60-100</t>
  </si>
  <si>
    <t>P70-100</t>
  </si>
  <si>
    <t>P80-100</t>
  </si>
  <si>
    <t>P90-100</t>
  </si>
  <si>
    <t>P95-100</t>
  </si>
  <si>
    <t>netestate0</t>
  </si>
  <si>
    <t>age0</t>
  </si>
  <si>
    <t>age50</t>
  </si>
  <si>
    <t>age60</t>
  </si>
  <si>
    <t>age70</t>
  </si>
  <si>
    <t>age80</t>
  </si>
  <si>
    <t>age90</t>
  </si>
  <si>
    <t>age95</t>
  </si>
  <si>
    <t>age99</t>
  </si>
  <si>
    <t>age999</t>
  </si>
  <si>
    <r>
      <t xml:space="preserve">Average personal estate assets </t>
    </r>
    <r>
      <rPr>
        <sz val="11"/>
        <rFont val="Arial"/>
        <family val="2"/>
      </rPr>
      <t xml:space="preserve">(residual) </t>
    </r>
  </si>
  <si>
    <r>
      <t xml:space="preserve">Average personal estate assets </t>
    </r>
    <r>
      <rPr>
        <sz val="11"/>
        <rFont val="Arial"/>
        <family val="2"/>
      </rPr>
      <t xml:space="preserve">(observed) </t>
    </r>
  </si>
  <si>
    <t>Effective sampling rate by fractile (net estate&gt;0)</t>
  </si>
  <si>
    <t>Number of subsample observations by fractile (net estate&gt;0)</t>
  </si>
  <si>
    <t>samplingrate50</t>
  </si>
  <si>
    <t>Average net estate per intermediate fractile (current francs)</t>
  </si>
  <si>
    <t>Average net estate per top fractile (current francs)</t>
  </si>
  <si>
    <t>% subsample with separate assets &gt;0 (unweighted)</t>
  </si>
  <si>
    <t>% with separ. assets &gt;0</t>
  </si>
  <si>
    <r>
      <t xml:space="preserve">Average separate estate </t>
    </r>
    <r>
      <rPr>
        <sz val="10"/>
        <rFont val="Arial"/>
        <family val="2"/>
      </rPr>
      <t>(reported)</t>
    </r>
  </si>
  <si>
    <r>
      <t xml:space="preserve">Average separate estate </t>
    </r>
    <r>
      <rPr>
        <sz val="10"/>
        <rFont val="Arial Narrow"/>
        <family val="2"/>
      </rPr>
      <t>(computed)</t>
    </r>
  </si>
  <si>
    <t>sep. share</t>
  </si>
  <si>
    <t>% subsample with separate assets &gt;0 (weighted)</t>
  </si>
  <si>
    <t>Average reimbur. (% sep. assets)</t>
  </si>
  <si>
    <t>Total net reimbur. (% sep. assets)</t>
  </si>
  <si>
    <t>N. decedents (20-yr +) (full sample)</t>
  </si>
  <si>
    <t>N.  with net estate&gt;0   (full sample)</t>
  </si>
  <si>
    <t>Full sample response rate</t>
  </si>
  <si>
    <t>Average estate (all deced.)</t>
  </si>
  <si>
    <t xml:space="preserve">Table B1: Inheritance in Paris, 1872-1937 - Summary Statistics </t>
  </si>
  <si>
    <t>wealth</t>
  </si>
  <si>
    <t>All subsample married decedents with estate&gt;0 &amp; community assets&gt;0</t>
  </si>
  <si>
    <t>Subsample male married decedents with estate&gt;0 &amp; community assets&gt;0</t>
  </si>
  <si>
    <t>Subsample female married decedents with estate&gt;0 &amp; community assets&gt;0</t>
  </si>
  <si>
    <t>wealth0</t>
  </si>
  <si>
    <t>wealth1</t>
  </si>
  <si>
    <t>(estate&gt;0)</t>
  </si>
  <si>
    <t>(estate=0)</t>
  </si>
  <si>
    <t>% decedents with  estate&gt;0</t>
  </si>
  <si>
    <t>Average estate (estate&gt;0)</t>
  </si>
  <si>
    <t xml:space="preserve">Table B5: Inheritance in Paris, 1872-1937 - Gender &amp; marital status patterns </t>
  </si>
  <si>
    <t>Table B2: Inheritance in Paris, 1872-1937 - Negative estates &amp; children estates</t>
  </si>
  <si>
    <t>Table B3: Inheritance in Paris, 1872-1937 - Gender patterns</t>
  </si>
  <si>
    <t xml:space="preserve">Table B4: Inheritance in Paris, 1872-1937 - Gender &amp; age patterns </t>
  </si>
  <si>
    <t>Table B6: Inheritance in Paris, 1872-1937 - Age-wealth profiles (men+women)</t>
  </si>
  <si>
    <t xml:space="preserve">Table B7: Inheritance in Paris, 1872-1937 - Age-marital status profiles </t>
  </si>
  <si>
    <t>Table B8: Inheritance in Paris, 1872-1937 - Wealth concentration (fractiles of net estate)</t>
  </si>
  <si>
    <t xml:space="preserve">Table B9: Inheritance in Paris, 1872-1937 - Full sample vs subsample  </t>
  </si>
  <si>
    <t>Table B11: Inheritance in Paris, 1872-1937 - Detailed asset composition by fractiles of net estate (subsample)</t>
  </si>
  <si>
    <t>Memo: Dowries</t>
  </si>
  <si>
    <t>(Top 1%)</t>
  </si>
  <si>
    <t>(Next 9%)</t>
  </si>
  <si>
    <t>(Middle 40%)</t>
  </si>
  <si>
    <t>Composition of separate assets (subsample married decedents with net estate&gt;0 &amp; community assets&gt;0)</t>
  </si>
  <si>
    <t>sepliabilities</t>
  </si>
  <si>
    <t>seprealestate</t>
  </si>
  <si>
    <t>sepequity</t>
  </si>
  <si>
    <t>sepcash</t>
  </si>
  <si>
    <t>seppension</t>
  </si>
  <si>
    <t>sepfurnitures</t>
  </si>
  <si>
    <t>sepdowries</t>
  </si>
  <si>
    <t>Table B15: Inheritance in Paris, 1872-1937 - Community vs separate assets (married decedents with community assets)</t>
  </si>
  <si>
    <t>sepestate</t>
  </si>
  <si>
    <t>Table B16: Inheritance in Paris, 1912-1932 - Community reimbursements to separate assets</t>
  </si>
  <si>
    <t>reimb01</t>
  </si>
  <si>
    <t>reimb</t>
  </si>
  <si>
    <t>reimbcom01</t>
  </si>
  <si>
    <t>reimbcom</t>
  </si>
  <si>
    <t>All subsample male married decedents with net estate&gt;0 &amp; community assets&gt;0</t>
  </si>
  <si>
    <t>All subsample female married decedents with net estate&gt;0 &amp; community assets&gt;0</t>
  </si>
  <si>
    <t>P50-90</t>
  </si>
  <si>
    <t>rentier50</t>
  </si>
  <si>
    <t>rentier90</t>
  </si>
  <si>
    <t>rentier99</t>
  </si>
  <si>
    <t>sharewealthrentier50</t>
  </si>
  <si>
    <t>sharewealthrentier90</t>
  </si>
  <si>
    <t>sharewealthrentier99</t>
  </si>
  <si>
    <t>shareinheritedwealth50</t>
  </si>
  <si>
    <t>rentier</t>
  </si>
  <si>
    <r>
      <t>ρ</t>
    </r>
    <r>
      <rPr>
        <b/>
        <vertAlign val="subscript"/>
        <sz val="11"/>
        <rFont val="Arial"/>
        <family val="2"/>
      </rPr>
      <t>t</t>
    </r>
  </si>
  <si>
    <r>
      <t>π</t>
    </r>
    <r>
      <rPr>
        <b/>
        <vertAlign val="subscript"/>
        <sz val="11"/>
        <rFont val="Arial"/>
        <family val="2"/>
      </rPr>
      <t>t</t>
    </r>
  </si>
  <si>
    <r>
      <t>φ</t>
    </r>
    <r>
      <rPr>
        <b/>
        <vertAlign val="subscript"/>
        <sz val="11"/>
        <rFont val="Arial"/>
        <family val="2"/>
      </rPr>
      <t>t</t>
    </r>
  </si>
  <si>
    <r>
      <t>ρ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 xml:space="preserve"> if w</t>
    </r>
    <r>
      <rPr>
        <vertAlign val="subscript"/>
        <sz val="11"/>
        <rFont val="Arial"/>
        <family val="2"/>
      </rPr>
      <t>it</t>
    </r>
    <r>
      <rPr>
        <sz val="11"/>
        <rFont val="Arial"/>
        <family val="2"/>
      </rPr>
      <t>&gt;0</t>
    </r>
  </si>
  <si>
    <r>
      <t>ρ</t>
    </r>
    <r>
      <rPr>
        <b/>
        <vertAlign val="subscript"/>
        <sz val="12"/>
        <rFont val="Arial"/>
        <family val="2"/>
      </rPr>
      <t>t</t>
    </r>
  </si>
  <si>
    <r>
      <t>π</t>
    </r>
    <r>
      <rPr>
        <b/>
        <vertAlign val="subscript"/>
        <sz val="12"/>
        <rFont val="Arial"/>
        <family val="2"/>
      </rPr>
      <t>t</t>
    </r>
  </si>
  <si>
    <r>
      <t>φ</t>
    </r>
    <r>
      <rPr>
        <b/>
        <vertAlign val="subscript"/>
        <sz val="12"/>
        <rFont val="Arial"/>
        <family val="2"/>
      </rPr>
      <t>t</t>
    </r>
  </si>
  <si>
    <r>
      <t>w</t>
    </r>
    <r>
      <rPr>
        <vertAlign val="subscript"/>
        <sz val="11"/>
        <rFont val="Arial"/>
        <family val="2"/>
      </rPr>
      <t>ti</t>
    </r>
  </si>
  <si>
    <r>
      <t>b</t>
    </r>
    <r>
      <rPr>
        <vertAlign val="subscript"/>
        <sz val="11"/>
        <rFont val="Arial"/>
        <family val="2"/>
      </rPr>
      <t>ti</t>
    </r>
    <r>
      <rPr>
        <vertAlign val="superscript"/>
        <sz val="11"/>
        <rFont val="Arial"/>
        <family val="2"/>
      </rPr>
      <t>*</t>
    </r>
  </si>
  <si>
    <r>
      <t xml:space="preserve"> 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*/ w</t>
    </r>
    <r>
      <rPr>
        <vertAlign val="subscript"/>
        <sz val="11"/>
        <rFont val="Arial"/>
        <family val="2"/>
      </rPr>
      <t>ti</t>
    </r>
  </si>
  <si>
    <r>
      <t>φ</t>
    </r>
    <r>
      <rPr>
        <vertAlign val="subscript"/>
        <sz val="11"/>
        <rFont val="Arial"/>
        <family val="2"/>
      </rPr>
      <t>t</t>
    </r>
    <r>
      <rPr>
        <vertAlign val="superscript"/>
        <sz val="11"/>
        <rFont val="Arial"/>
        <family val="2"/>
      </rPr>
      <t xml:space="preserve">KS </t>
    </r>
    <r>
      <rPr>
        <sz val="11"/>
        <rFont val="Arial"/>
        <family val="2"/>
      </rPr>
      <t>= 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*/ w</t>
    </r>
    <r>
      <rPr>
        <vertAlign val="subscript"/>
        <sz val="11"/>
        <rFont val="Arial"/>
        <family val="2"/>
      </rPr>
      <t>ti</t>
    </r>
  </si>
  <si>
    <t>ratio150</t>
  </si>
  <si>
    <t>ratio050</t>
  </si>
  <si>
    <t>Rentiers</t>
  </si>
  <si>
    <t>Savers</t>
  </si>
  <si>
    <r>
      <t>Average wealth 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</si>
  <si>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r>
      <t>Average estate e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(reported)</t>
    </r>
  </si>
  <si>
    <r>
      <t>Average inherited wealth b</t>
    </r>
    <r>
      <rPr>
        <vertAlign val="subscript"/>
        <sz val="11"/>
        <rFont val="Arial"/>
        <family val="2"/>
      </rPr>
      <t>ti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(r=0%)</t>
    </r>
  </si>
  <si>
    <r>
      <t>Share of capitalized inherited wealth in aggregate wealth as a function of the rate of return</t>
    </r>
    <r>
      <rPr>
        <sz val="11"/>
        <rFont val="Arial"/>
        <family val="2"/>
      </rPr>
      <t xml:space="preserve">                                             (H = D-I = 30 years)</t>
    </r>
  </si>
  <si>
    <t>ratio50</t>
  </si>
  <si>
    <t>ratio90</t>
  </si>
  <si>
    <t>ratio99</t>
  </si>
  <si>
    <t>Share of non-capitalized inherited wealth by wealth fractile</t>
  </si>
  <si>
    <t>Notes: (i) Negative estates were set equal to 0 and estates left by children decedents (0-19 year-old) were excluded (see Table B2)</t>
  </si>
  <si>
    <t xml:space="preserve">(ii) Full sample response rates are below 100% because within our two-year window we did not find in the RMD registers all decedents </t>
  </si>
  <si>
    <t>with positive estates listed in the TSA registers</t>
  </si>
  <si>
    <t>Memo: % full sample with age information (men)</t>
  </si>
  <si>
    <t>Memo: % full sample with age information (women)</t>
  </si>
  <si>
    <t>Memo: % full sample with age information (men+women)</t>
  </si>
  <si>
    <t>% full sample (net estate&gt;0) with marital status information</t>
  </si>
  <si>
    <t>Pareto P90</t>
  </si>
  <si>
    <t>Pareto P99</t>
  </si>
  <si>
    <t>Ratio recalcul/raw</t>
  </si>
  <si>
    <t>sep010</t>
  </si>
  <si>
    <t>sep011</t>
  </si>
  <si>
    <t>sep012</t>
  </si>
  <si>
    <t>sep013</t>
  </si>
  <si>
    <t>sep014</t>
  </si>
  <si>
    <t>Composition of community assets (subsample married decedents with net estate&gt;0 &amp; community assets&gt;0)</t>
  </si>
  <si>
    <t>% with reimbur. to deced. &gt;0</t>
  </si>
  <si>
    <t>% with reimbur. to deced.  &lt;0</t>
  </si>
  <si>
    <t>% with  reimbur. to spouse &gt;0</t>
  </si>
  <si>
    <t>% with reimbur. to spouse  &lt;0</t>
  </si>
  <si>
    <r>
      <t xml:space="preserve">Reimbur. from community to spouse ("reprises")     </t>
    </r>
    <r>
      <rPr>
        <sz val="11"/>
        <rFont val="Arial"/>
        <family val="2"/>
      </rPr>
      <t>(or from spouse to community if &lt;0) ("recompenses")</t>
    </r>
  </si>
  <si>
    <t>Net reimbur. to deced. (% com. assets)</t>
  </si>
  <si>
    <t>Net reimbur. to deced. (% sep. assets)</t>
  </si>
  <si>
    <t>Net reimbur. to spouse (% sep. assets)</t>
  </si>
  <si>
    <t>Net reimbur. to spouse (% com. assets)</t>
  </si>
  <si>
    <t>Total net reimbur. (% com. assets)</t>
  </si>
  <si>
    <t>Table B19: Inheritance in Paris, 1872-1937 - Rentiers vs savers by age group</t>
  </si>
  <si>
    <t>sharewealthrentier20</t>
  </si>
  <si>
    <t>sharewealthrentier30</t>
  </si>
  <si>
    <t>sharewealthrentier40</t>
  </si>
  <si>
    <t>sharewealthrentier60</t>
  </si>
  <si>
    <t>sharewealthrentier70</t>
  </si>
  <si>
    <t>sharewealthrentier80</t>
  </si>
  <si>
    <r>
      <t>π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(rentiers' share in wealth)</t>
    </r>
  </si>
  <si>
    <r>
      <t>ρ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if w</t>
    </r>
    <r>
      <rPr>
        <b/>
        <vertAlign val="subscript"/>
        <sz val="12"/>
        <rFont val="Arial"/>
        <family val="2"/>
      </rPr>
      <t>it</t>
    </r>
    <r>
      <rPr>
        <b/>
        <sz val="12"/>
        <rFont val="Arial"/>
        <family val="2"/>
      </rPr>
      <t>&gt;0 (rentiers' share in population with positive wealth)</t>
    </r>
  </si>
  <si>
    <t>rentier20</t>
  </si>
  <si>
    <t>rentier30</t>
  </si>
  <si>
    <t>rentier40</t>
  </si>
  <si>
    <t>rentier60</t>
  </si>
  <si>
    <t>rentier70</t>
  </si>
  <si>
    <t>rentier80</t>
  </si>
  <si>
    <r>
      <t>ρ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(rentiers' share in total population)</t>
    </r>
  </si>
  <si>
    <r>
      <t>φ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(total share of inherited wealth)</t>
    </r>
  </si>
  <si>
    <t>shareinheritedwealth20</t>
  </si>
  <si>
    <t>shareinheritedwealth30</t>
  </si>
  <si>
    <t>shareinheritedwealth40</t>
  </si>
  <si>
    <t>shareinheritedwealth60</t>
  </si>
  <si>
    <t>shareinheritedwealth70</t>
  </si>
  <si>
    <t>shareinheritedwealth80</t>
  </si>
  <si>
    <r>
      <t>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(rentiers)</t>
    </r>
  </si>
  <si>
    <t>ratio120</t>
  </si>
  <si>
    <t>ratio130</t>
  </si>
  <si>
    <t>ratio140</t>
  </si>
  <si>
    <t>ratio160</t>
  </si>
  <si>
    <t>ratio170</t>
  </si>
  <si>
    <t>ratio180</t>
  </si>
  <si>
    <r>
      <t>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(savers)</t>
    </r>
  </si>
  <si>
    <t>ratio020</t>
  </si>
  <si>
    <t>ratio030</t>
  </si>
  <si>
    <t>ratio040</t>
  </si>
  <si>
    <t>ratio060</t>
  </si>
  <si>
    <t>ratio070</t>
  </si>
  <si>
    <t>ratio080</t>
  </si>
  <si>
    <t xml:space="preserve">number of decedents with net estate&gt;0 &amp; matM=1 &amp; com01=1 &amp; sampled==1 by age group </t>
  </si>
  <si>
    <t>nobs20</t>
  </si>
  <si>
    <t>nobs30</t>
  </si>
  <si>
    <t>nobs40</t>
  </si>
  <si>
    <t>nobs50</t>
  </si>
  <si>
    <t>nobs60</t>
  </si>
  <si>
    <t>nobs70</t>
  </si>
  <si>
    <t>nobs80</t>
  </si>
  <si>
    <r>
      <t>Table B20: Inheritance in Paris, 1872-1937 - Distributions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</t>
    </r>
  </si>
  <si>
    <t>&lt;50%</t>
  </si>
  <si>
    <t>50%-100%</t>
  </si>
  <si>
    <t>100%-150%</t>
  </si>
  <si>
    <t>150%-200%</t>
  </si>
  <si>
    <t>&gt;200%</t>
  </si>
  <si>
    <t>pond0</t>
  </si>
  <si>
    <t>pond50</t>
  </si>
  <si>
    <t>pond100</t>
  </si>
  <si>
    <t>pond150</t>
  </si>
  <si>
    <t>pond200</t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</si>
  <si>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(total population with wealth)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</si>
  <si>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P50-90)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</si>
  <si>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P50-90)                                 </t>
    </r>
    <r>
      <rPr>
        <sz val="12"/>
        <rFont val="Arial"/>
        <family val="2"/>
      </rPr>
      <t>(weighted n. obs. married decedents with com01=1 &amp; sampled==1 )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</si>
  <si>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P90-99) (%) 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</si>
  <si>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P90-99)                                   </t>
    </r>
    <r>
      <rPr>
        <sz val="12"/>
        <rFont val="Arial"/>
        <family val="2"/>
      </rPr>
      <t>(weighted n. obs. married decedents with com01=1 &amp; sampled==1 )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</si>
  <si>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P99-100)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</si>
  <si>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P99-100)                                 </t>
    </r>
    <r>
      <rPr>
        <sz val="12"/>
        <rFont val="Arial"/>
        <family val="2"/>
      </rPr>
      <t>(weighted n. obs. married decedents with com01=1 &amp; sampled==1 )</t>
    </r>
  </si>
  <si>
    <t>com0120</t>
  </si>
  <si>
    <t>com0130</t>
  </si>
  <si>
    <t>com0140</t>
  </si>
  <si>
    <t>com0150</t>
  </si>
  <si>
    <t>Table B13: Inheritance in Paris, 1872-1937 - community vs separate assets by fractiles of net estate &amp; by age</t>
  </si>
  <si>
    <t xml:space="preserve">Table B12: Inheritance in Paris, 1872-1937 - community vs separate assets by marital status &amp; gender </t>
  </si>
  <si>
    <t>Table B14: Inheritance in Paris, 1872-1937 - Detailed asset composition: community vs separate assets</t>
  </si>
  <si>
    <t>% with reimbur. to dec. &gt;0 or separ. ass. &gt;0</t>
  </si>
  <si>
    <t>reimb010</t>
  </si>
  <si>
    <t>reimb011</t>
  </si>
  <si>
    <t>reimb012</t>
  </si>
  <si>
    <t>reimb013</t>
  </si>
  <si>
    <t>reimb014</t>
  </si>
  <si>
    <t>% subsample with community reimbursements to decedent &gt;0 (weighted)</t>
  </si>
  <si>
    <t>sepreimb010</t>
  </si>
  <si>
    <t>sepreimb011</t>
  </si>
  <si>
    <t>sepreimb012</t>
  </si>
  <si>
    <t>sepreimb013</t>
  </si>
  <si>
    <t>sepreimb014</t>
  </si>
  <si>
    <t>% subsample with separate assets &gt;0 or community reimbursement to decedent &gt;0 (weighted)</t>
  </si>
  <si>
    <r>
      <t xml:space="preserve">Reimbursements from community to decedent ("reprises")           </t>
    </r>
    <r>
      <rPr>
        <sz val="11"/>
        <rFont val="Arial"/>
        <family val="2"/>
      </rPr>
      <t>(or from decedent to community if &lt;0) ("recompenses")</t>
    </r>
  </si>
  <si>
    <t>1872-1937</t>
  </si>
  <si>
    <t>inc.:    (2e) Other fiancial assets</t>
  </si>
  <si>
    <t>(as a fraction of total gross assets, gross community or gross separate assets)</t>
  </si>
  <si>
    <t>Composition of total gross assets (subsample married decedents with net estate&gt;0 &amp; community assets&gt;0)</t>
  </si>
  <si>
    <t>(total population of subsample decedents with positive net estate)</t>
  </si>
  <si>
    <t>% decedents with estate &lt;0 in total number of deced.20+</t>
  </si>
  <si>
    <t>inc.:   (2b) Private  bonds</t>
  </si>
  <si>
    <t>Sources: Authors computations using micro data collected in Paris estate tax archives (see do-file doTableB1.txt)</t>
  </si>
  <si>
    <t>Source: Authors computations using micro data collected in Paris estate tax archives (see do-file doEstates1872-1937.txt)</t>
  </si>
  <si>
    <t>Sources: Authors computations using micro data collected in Paris estate tax archives (see do-file doTableB3.txt)</t>
  </si>
  <si>
    <t>Sources: Authors computations using micro data collected in Paris estate tax archives (see do-file doTableB4.txt)</t>
  </si>
  <si>
    <t>Sources: Authors computations using micro data collected in Paris estate tax archives (see do-file doTableB5.txt)</t>
  </si>
  <si>
    <t>Sources: Authors computations using micro data collected in Paris estate tax archives (see do-file doTableB6.txt)</t>
  </si>
  <si>
    <t>Sources: Authors computations using micro data collected in Paris estate tax archives (see do-file doTableB7.txt)</t>
  </si>
  <si>
    <t>Sources: Authors computations using micro data collected in Paris estate tax archives (see do-file doTableB8.txt)</t>
  </si>
  <si>
    <t>persoestate</t>
  </si>
  <si>
    <t>persoestatec</t>
  </si>
  <si>
    <t>Sources: Authors computations using micro data collected in Paris estate tax archives (see do-file doTableB9.txt)</t>
  </si>
  <si>
    <t>Table B10: Inheritance in Paris, 1872-1937 - Asset composition: liabilities &amp; real estate (full sample)</t>
  </si>
  <si>
    <t>liabilitiesh</t>
  </si>
  <si>
    <t>liabilities20</t>
  </si>
  <si>
    <t>liabilities30</t>
  </si>
  <si>
    <t>liabilities40</t>
  </si>
  <si>
    <t>liabilities50</t>
  </si>
  <si>
    <t>liabilities60</t>
  </si>
  <si>
    <t>liabilities70</t>
  </si>
  <si>
    <t>liabilities80</t>
  </si>
  <si>
    <t>liabilities90</t>
  </si>
  <si>
    <t>liabilities95</t>
  </si>
  <si>
    <t>liabilities99</t>
  </si>
  <si>
    <t>liabilities999</t>
  </si>
  <si>
    <t>realestateh</t>
  </si>
  <si>
    <t>realestate20</t>
  </si>
  <si>
    <t>realestate30</t>
  </si>
  <si>
    <t>realestate40</t>
  </si>
  <si>
    <t>realestate50</t>
  </si>
  <si>
    <t>realestate60</t>
  </si>
  <si>
    <t>realestate70</t>
  </si>
  <si>
    <t>realestate80</t>
  </si>
  <si>
    <t>realestate90</t>
  </si>
  <si>
    <t>realestate95</t>
  </si>
  <si>
    <t>realestate99</t>
  </si>
  <si>
    <t>realestate999</t>
  </si>
  <si>
    <t>Sources: Authors computations using micro data collected in Paris estate tax archives (see do-file doTableB10.txt)</t>
  </si>
  <si>
    <t>realestaparis</t>
  </si>
  <si>
    <t>realestaprov</t>
  </si>
  <si>
    <t>finassets</t>
  </si>
  <si>
    <t>equityfor</t>
  </si>
  <si>
    <t>privbonds</t>
  </si>
  <si>
    <t>privbondsfor</t>
  </si>
  <si>
    <t>persobonds</t>
  </si>
  <si>
    <t>pubbonds</t>
  </si>
  <si>
    <t>pubbondsfor</t>
  </si>
  <si>
    <t>Sources: Authors computations using micro data collected in Paris estate tax archives (see do-file doTableB11.txt)</t>
  </si>
  <si>
    <t>Note: For the purpose of this table, dowries were taken away from "other financial assets" (and therefore from gross assets).</t>
  </si>
  <si>
    <t>Sources: Authors computations using micro data collected in Paris estate tax archives (see do-file doTableB12.txt)</t>
  </si>
  <si>
    <t>% subsample with re-computed separate assets&gt;0 (weighted)</t>
  </si>
  <si>
    <t>% subsample with re-comp. separate assets &gt;0 or community reimbursement to decedent &gt;0 (weighted)</t>
  </si>
  <si>
    <t>sepc010</t>
  </si>
  <si>
    <t>sepc011</t>
  </si>
  <si>
    <t>sepc012</t>
  </si>
  <si>
    <t>sepc013</t>
  </si>
  <si>
    <t>sepc014</t>
  </si>
  <si>
    <t>sepreimb0160</t>
  </si>
  <si>
    <t>sepreimb0170</t>
  </si>
  <si>
    <t>sepreimb0180</t>
  </si>
  <si>
    <t>sepreimb0190</t>
  </si>
  <si>
    <t>sepreimb0195</t>
  </si>
  <si>
    <t>sepreimb0199</t>
  </si>
  <si>
    <t>sepreimb01999</t>
  </si>
  <si>
    <t>% decedents with sep. assets or reimb. &gt;0 (weighted)</t>
  </si>
  <si>
    <t>sepreimb01</t>
  </si>
  <si>
    <t>% decedents with sep. assets or reimb &gt;0 (weighted)</t>
  </si>
  <si>
    <t>sepreimb0120</t>
  </si>
  <si>
    <t>sepreimb0130</t>
  </si>
  <si>
    <t>sepreimb0140</t>
  </si>
  <si>
    <t>sepreimb0150</t>
  </si>
  <si>
    <t>Sources: Authors computations using micro data collected in Paris estate tax archives (see do-file doTableB13.txt)</t>
  </si>
  <si>
    <t>comrealestaparis</t>
  </si>
  <si>
    <t>comrealestaprov</t>
  </si>
  <si>
    <t>comfinassets</t>
  </si>
  <si>
    <t>comequityfor</t>
  </si>
  <si>
    <t>comprivbonds</t>
  </si>
  <si>
    <t>comprivbondsfor</t>
  </si>
  <si>
    <t>compersobonds</t>
  </si>
  <si>
    <t>compubbonds</t>
  </si>
  <si>
    <t>compubbondsfor</t>
  </si>
  <si>
    <t>comcashtot</t>
  </si>
  <si>
    <t>comothertot</t>
  </si>
  <si>
    <t>comotherinc</t>
  </si>
  <si>
    <t>seprealestaparis</t>
  </si>
  <si>
    <t>seprealestaprov</t>
  </si>
  <si>
    <t>sepfinassets</t>
  </si>
  <si>
    <t>sepequityfor</t>
  </si>
  <si>
    <t>sepprivbonds</t>
  </si>
  <si>
    <t>sepprivbondsfor</t>
  </si>
  <si>
    <t>seppersobonds</t>
  </si>
  <si>
    <t>seppubbonds</t>
  </si>
  <si>
    <t>seppubbondsfor</t>
  </si>
  <si>
    <t>sepcashtot</t>
  </si>
  <si>
    <t>sepothertot</t>
  </si>
  <si>
    <t>sepotherinc</t>
  </si>
  <si>
    <t>Sources: Authors computations using micro data collected in Paris estate tax archives (see do-file doTableB14.txt)</t>
  </si>
  <si>
    <t>netestatec</t>
  </si>
  <si>
    <t>comestatec</t>
  </si>
  <si>
    <t>sepestatec</t>
  </si>
  <si>
    <t>Sources: Authors computations using micro data collected in Paris estate tax archives (see do-file doTableB15.txt)</t>
  </si>
  <si>
    <t>spoureimb01</t>
  </si>
  <si>
    <t>spoureimb</t>
  </si>
  <si>
    <t>spoureimbcom01</t>
  </si>
  <si>
    <t>spoureimbcom</t>
  </si>
  <si>
    <t>inherwealth0</t>
  </si>
  <si>
    <t>Sources: Authors computations using micro data collected in Paris estate tax archives (see do-file doTableB16.txt)</t>
  </si>
  <si>
    <t>Table B17: Inheritance in Paris, 1872-1937 - Inherited wealth vs self-made wealth                                                                  (representative-agent definitions, fixed rate of return)</t>
  </si>
  <si>
    <t>Sources: Authors computations using micro data collected in Paris estate tax archives (see do-file doTableB17.txt)</t>
  </si>
  <si>
    <t xml:space="preserve">Table B18: Inheritance in Paris, 1872-1937 -  Inherited wealth vs self-made wealth (rentiers vs savers decomposition)    (benchmark estimates with individual rates of return)                                                                </t>
  </si>
  <si>
    <t>inherwealth</t>
  </si>
  <si>
    <t>inherwealth1</t>
  </si>
  <si>
    <t>wealth10</t>
  </si>
  <si>
    <t>inherwealth10</t>
  </si>
  <si>
    <t>shareinherwealth50</t>
  </si>
  <si>
    <t>shareinherwealth90</t>
  </si>
  <si>
    <t>shareinherwealth99</t>
  </si>
  <si>
    <r>
      <t>π</t>
    </r>
    <r>
      <rPr>
        <vertAlign val="subscript"/>
        <sz val="11"/>
        <rFont val="Arial"/>
        <family val="2"/>
      </rPr>
      <t>t</t>
    </r>
  </si>
  <si>
    <r>
      <t>φ</t>
    </r>
    <r>
      <rPr>
        <vertAlign val="subscript"/>
        <sz val="11"/>
        <rFont val="Arial"/>
        <family val="2"/>
      </rPr>
      <t>t</t>
    </r>
  </si>
  <si>
    <t>ind. shock = 0%</t>
  </si>
  <si>
    <t>rentier1</t>
  </si>
  <si>
    <t>sharewealthrentier</t>
  </si>
  <si>
    <t>shareinherwealth</t>
  </si>
  <si>
    <r>
      <t>ρ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if 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&gt;0</t>
    </r>
  </si>
  <si>
    <t>ind. shock = 50%</t>
  </si>
  <si>
    <t>ind. shock = 100%</t>
  </si>
  <si>
    <t>ind. shock = 75%</t>
  </si>
  <si>
    <t>ind. shock = 200%</t>
  </si>
  <si>
    <t>rentier0</t>
  </si>
  <si>
    <t>wealth01</t>
  </si>
  <si>
    <t>inherwealth01</t>
  </si>
  <si>
    <t>wealth00</t>
  </si>
  <si>
    <t>inherwealth00</t>
  </si>
  <si>
    <t>rentier050</t>
  </si>
  <si>
    <t>rentier090</t>
  </si>
  <si>
    <t>rentier099</t>
  </si>
  <si>
    <r>
      <t>ρ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</si>
  <si>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t>shock=0%</t>
  </si>
  <si>
    <t>shock=50%</t>
  </si>
  <si>
    <t>shock=75%</t>
  </si>
  <si>
    <t>shock=100%</t>
  </si>
  <si>
    <t>shock=200%</t>
  </si>
  <si>
    <t>Sources: Authors computations using micro data collected in Paris estate tax archives (see do-file doTableB18.txt)</t>
  </si>
  <si>
    <t>Sources: Authors computations using micro data collected in Paris estate tax archives (see do-file doTableB19.txt)</t>
  </si>
  <si>
    <r>
      <t xml:space="preserve"> (b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*-w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)/y</t>
    </r>
    <r>
      <rPr>
        <vertAlign val="subscript"/>
        <sz val="11"/>
        <rFont val="Arial"/>
        <family val="2"/>
      </rPr>
      <t>Lti</t>
    </r>
  </si>
  <si>
    <t>ratiolabor1</t>
  </si>
  <si>
    <t>ratio1</t>
  </si>
  <si>
    <t>ratiolabor0</t>
  </si>
  <si>
    <t>ratio0</t>
  </si>
  <si>
    <t>ratiolabor150</t>
  </si>
  <si>
    <t>ratiolabor190</t>
  </si>
  <si>
    <t>ratiolabor199</t>
  </si>
  <si>
    <r>
      <t>(b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*-w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)/y</t>
    </r>
    <r>
      <rPr>
        <b/>
        <vertAlign val="subscript"/>
        <sz val="12"/>
        <rFont val="Arial"/>
        <family val="2"/>
      </rPr>
      <t>Lti</t>
    </r>
    <r>
      <rPr>
        <b/>
        <sz val="12"/>
        <rFont val="Arial"/>
        <family val="2"/>
      </rPr>
      <t xml:space="preserve"> (rentiers)</t>
    </r>
  </si>
  <si>
    <r>
      <t>(w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-b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*)/y</t>
    </r>
    <r>
      <rPr>
        <b/>
        <vertAlign val="subscript"/>
        <sz val="12"/>
        <rFont val="Arial"/>
        <family val="2"/>
      </rPr>
      <t>Lti</t>
    </r>
    <r>
      <rPr>
        <b/>
        <sz val="12"/>
        <rFont val="Arial"/>
        <family val="2"/>
      </rPr>
      <t xml:space="preserve"> (savers)</t>
    </r>
  </si>
  <si>
    <r>
      <t xml:space="preserve"> (w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-b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*)/y</t>
    </r>
    <r>
      <rPr>
        <vertAlign val="subscript"/>
        <sz val="11"/>
        <rFont val="Arial"/>
        <family val="2"/>
      </rPr>
      <t>Lti</t>
    </r>
  </si>
  <si>
    <t>ratiolabor050</t>
  </si>
  <si>
    <t>ratiolabor090</t>
  </si>
  <si>
    <t>ratiolabor099</t>
  </si>
  <si>
    <t>Average age per intermediate fractile</t>
  </si>
  <si>
    <t>Average net estate per intermediate fractile (years of average labor income)</t>
  </si>
  <si>
    <t>Average net estate per top fractile (years of average labor income)</t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</si>
  <si>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(total population with wealth)                                                   </t>
    </r>
    <r>
      <rPr>
        <sz val="12"/>
        <rFont val="Arial"/>
        <family val="2"/>
      </rPr>
      <t>(weighted n. obs. married decedents with com01=1 &amp; sampled==1 )</t>
    </r>
  </si>
  <si>
    <t>Sources: Authors computations using micro data collected in Paris estate tax archives (see do-file doTableB20.txt)</t>
  </si>
  <si>
    <t xml:space="preserve">Table B21: Inheritance in Paris, 1872-1937 -  Inherited wealth vs self-made wealth (rentiers vs savers decomposition)    (alternative estimates with a fixed rate of return: r=0%)                                                                </t>
  </si>
  <si>
    <t>Total population</t>
  </si>
  <si>
    <t xml:space="preserve">Table B21: Inheritance in Paris, 1872-1937 -  Inherited wealth vs self-made wealth (rentiers vs savers decomposition)    (alternative estimates with a fixed rate of return: r=3%)                                                                </t>
  </si>
  <si>
    <t>Sources: Authors computations using micro data collected in Paris estate tax archives (see do-file doTableB21.txt)</t>
  </si>
  <si>
    <t xml:space="preserve">Table B21: Inheritance in Paris, 1872-1937 -  Inherited wealth vs self-made wealth (rentiers vs savers decomposition)    (alternative estimates with a fixed rate of return: r=5%)                                                                </t>
  </si>
  <si>
    <t>annual return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</si>
</sst>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\$#,##0\ ;\(\$#,##0\)"/>
    <numFmt numFmtId="167" formatCode="\$#,##0.00\ ;\(\$#,##0.00\)"/>
    <numFmt numFmtId="168" formatCode="0.0"/>
    <numFmt numFmtId="169" formatCode="0.0%"/>
    <numFmt numFmtId="170" formatCode="#,##0.0"/>
    <numFmt numFmtId="171" formatCode="0.000%"/>
    <numFmt numFmtId="172" formatCode="0.0E+00"/>
    <numFmt numFmtId="173" formatCode="0E+00"/>
    <numFmt numFmtId="174" formatCode="#,##0.000"/>
    <numFmt numFmtId="175" formatCode="0.0000%"/>
    <numFmt numFmtId="176" formatCode="#,##0.0000"/>
    <numFmt numFmtId="177" formatCode="#,##0.00000"/>
    <numFmt numFmtId="178" formatCode="&quot;Vrai&quot;;&quot;Vrai&quot;;&quot;Faux&quot;"/>
    <numFmt numFmtId="179" formatCode="&quot;Actif&quot;;&quot;Actif&quot;;&quot;Inactif&quot;"/>
    <numFmt numFmtId="180" formatCode="0.000000"/>
    <numFmt numFmtId="181" formatCode="0.00000"/>
    <numFmt numFmtId="182" formatCode="0.0000"/>
    <numFmt numFmtId="183" formatCode="0.000"/>
    <numFmt numFmtId="184" formatCode="0.0000000000000%"/>
    <numFmt numFmtId="185" formatCode="_-* #,##0.00\ _F_-;\-* #,##0.00\ _F_-;_-* &quot;-&quot;??\ _F_-;_-@_-"/>
    <numFmt numFmtId="186" formatCode="#,##0.000000"/>
    <numFmt numFmtId="187" formatCode="#,##0\ &quot;€&quot;"/>
    <numFmt numFmtId="188" formatCode="0.00000%"/>
    <numFmt numFmtId="189" formatCode="0.000000%"/>
    <numFmt numFmtId="190" formatCode="#,##0.0000000"/>
    <numFmt numFmtId="191" formatCode="0.000000000000000%"/>
    <numFmt numFmtId="192" formatCode="0.0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%"/>
    <numFmt numFmtId="199" formatCode="#,##0.0\ &quot;€&quot;"/>
    <numFmt numFmtId="200" formatCode="0.0000000000000000%"/>
  </numFmts>
  <fonts count="50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7"/>
      <name val="Helvetica"/>
      <family val="0"/>
    </font>
    <font>
      <sz val="10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2"/>
      <color indexed="24"/>
      <name val="Arial"/>
      <family val="2"/>
    </font>
    <font>
      <sz val="12"/>
      <color indexed="8"/>
      <name val="Arial"/>
      <family val="0"/>
    </font>
    <font>
      <sz val="10"/>
      <color indexed="8"/>
      <name val="Arial Narrow"/>
      <family val="2"/>
    </font>
    <font>
      <i/>
      <sz val="12"/>
      <color indexed="8"/>
      <name val="Arial"/>
      <family val="0"/>
    </font>
    <font>
      <i/>
      <sz val="10"/>
      <color indexed="8"/>
      <name val="Arial Narrow"/>
      <family val="2"/>
    </font>
    <font>
      <i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color indexed="2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24"/>
      <name val="Arial Narrow"/>
      <family val="2"/>
    </font>
    <font>
      <b/>
      <sz val="10"/>
      <color indexed="24"/>
      <name val="Arial Narrow"/>
      <family val="2"/>
    </font>
    <font>
      <i/>
      <sz val="10"/>
      <color indexed="2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9"/>
      <color indexed="24"/>
      <name val="Arial Narrow"/>
      <family val="2"/>
    </font>
    <font>
      <sz val="11"/>
      <color indexed="24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0"/>
      <color indexed="24"/>
      <name val="Arial"/>
      <family val="2"/>
    </font>
    <font>
      <i/>
      <sz val="9"/>
      <name val="Arial Narrow"/>
      <family val="2"/>
    </font>
    <font>
      <i/>
      <sz val="9"/>
      <color indexed="24"/>
      <name val="Arial Narrow"/>
      <family val="2"/>
    </font>
    <font>
      <b/>
      <vertAlign val="subscript"/>
      <sz val="12"/>
      <name val="Arial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9"/>
      <color indexed="24"/>
      <name val="Arial Narrow"/>
      <family val="2"/>
    </font>
    <font>
      <vertAlign val="subscript"/>
      <sz val="12"/>
      <name val="Arial"/>
      <family val="2"/>
    </font>
    <font>
      <b/>
      <sz val="20"/>
      <name val="Arial"/>
      <family val="2"/>
    </font>
    <font>
      <sz val="19.75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168" fontId="15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9" fontId="15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/>
    </xf>
    <xf numFmtId="170" fontId="10" fillId="0" borderId="6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168" fontId="15" fillId="0" borderId="1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10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9" fontId="10" fillId="0" borderId="4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68" fontId="20" fillId="0" borderId="0" xfId="0" applyNumberFormat="1" applyFont="1" applyAlignment="1">
      <alignment/>
    </xf>
    <xf numFmtId="1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2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9" fontId="23" fillId="0" borderId="0" xfId="0" applyNumberFormat="1" applyFont="1" applyBorder="1" applyAlignment="1">
      <alignment horizontal="center" vertical="center" wrapText="1"/>
    </xf>
    <xf numFmtId="168" fontId="35" fillId="0" borderId="0" xfId="0" applyNumberFormat="1" applyFont="1" applyAlignment="1">
      <alignment/>
    </xf>
    <xf numFmtId="170" fontId="10" fillId="0" borderId="4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68" fontId="15" fillId="0" borderId="4" xfId="0" applyNumberFormat="1" applyFont="1" applyBorder="1" applyAlignment="1">
      <alignment horizontal="center" vertical="center"/>
    </xf>
    <xf numFmtId="168" fontId="15" fillId="0" borderId="3" xfId="0" applyNumberFormat="1" applyFont="1" applyBorder="1" applyAlignment="1">
      <alignment horizontal="center" vertical="center"/>
    </xf>
    <xf numFmtId="9" fontId="17" fillId="0" borderId="4" xfId="0" applyNumberFormat="1" applyFont="1" applyBorder="1" applyAlignment="1">
      <alignment horizontal="center"/>
    </xf>
    <xf numFmtId="9" fontId="17" fillId="0" borderId="3" xfId="0" applyNumberFormat="1" applyFont="1" applyBorder="1" applyAlignment="1">
      <alignment horizontal="center"/>
    </xf>
    <xf numFmtId="9" fontId="13" fillId="0" borderId="5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83" fontId="10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9" fontId="15" fillId="0" borderId="12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vertical="center"/>
    </xf>
    <xf numFmtId="16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9" fontId="13" fillId="0" borderId="2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9" fontId="10" fillId="0" borderId="23" xfId="0" applyNumberFormat="1" applyFont="1" applyBorder="1" applyAlignment="1">
      <alignment horizontal="center" vertical="center"/>
    </xf>
    <xf numFmtId="168" fontId="13" fillId="0" borderId="24" xfId="0" applyNumberFormat="1" applyFont="1" applyBorder="1" applyAlignment="1">
      <alignment horizontal="center" vertical="center" wrapText="1"/>
    </xf>
    <xf numFmtId="169" fontId="10" fillId="0" borderId="19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169" fontId="10" fillId="0" borderId="2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68" fontId="13" fillId="0" borderId="13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15" fillId="0" borderId="14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8" fontId="13" fillId="0" borderId="28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/>
    </xf>
    <xf numFmtId="169" fontId="10" fillId="0" borderId="3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13" xfId="0" applyFont="1" applyBorder="1" applyAlignment="1">
      <alignment/>
    </xf>
    <xf numFmtId="0" fontId="16" fillId="0" borderId="32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68" fontId="10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8" fontId="15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8" fontId="15" fillId="0" borderId="3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 vertical="center"/>
    </xf>
    <xf numFmtId="170" fontId="10" fillId="0" borderId="15" xfId="0" applyNumberFormat="1" applyFont="1" applyBorder="1" applyAlignment="1">
      <alignment horizontal="center" vertical="center"/>
    </xf>
    <xf numFmtId="170" fontId="10" fillId="0" borderId="3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9" fontId="1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10" fillId="0" borderId="33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center" vertical="center" wrapText="1"/>
    </xf>
    <xf numFmtId="9" fontId="15" fillId="0" borderId="15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/>
    </xf>
    <xf numFmtId="9" fontId="13" fillId="0" borderId="15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17" fontId="15" fillId="0" borderId="0" xfId="0" applyNumberFormat="1" applyFont="1" applyBorder="1" applyAlignment="1">
      <alignment/>
    </xf>
    <xf numFmtId="9" fontId="10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9" fontId="9" fillId="0" borderId="15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9" fontId="34" fillId="0" borderId="0" xfId="0" applyNumberFormat="1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9" fontId="10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9" fontId="10" fillId="0" borderId="34" xfId="0" applyNumberFormat="1" applyFont="1" applyBorder="1" applyAlignment="1">
      <alignment horizontal="center" vertical="center"/>
    </xf>
    <xf numFmtId="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3" fontId="33" fillId="0" borderId="14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10" fillId="0" borderId="0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168" fontId="10" fillId="0" borderId="17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/>
    </xf>
    <xf numFmtId="168" fontId="10" fillId="0" borderId="17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9" fontId="9" fillId="0" borderId="40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15" fillId="0" borderId="32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9" fontId="9" fillId="0" borderId="41" xfId="0" applyNumberFormat="1" applyFont="1" applyBorder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9" fontId="10" fillId="0" borderId="3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28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68" fontId="10" fillId="0" borderId="57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justify" vertical="top" wrapText="1"/>
    </xf>
    <xf numFmtId="0" fontId="10" fillId="0" borderId="55" xfId="0" applyFont="1" applyBorder="1" applyAlignment="1">
      <alignment horizontal="justify" vertical="top" wrapText="1"/>
    </xf>
    <xf numFmtId="0" fontId="10" fillId="0" borderId="56" xfId="0" applyFont="1" applyBorder="1" applyAlignment="1">
      <alignment horizontal="justify" vertical="top" wrapText="1"/>
    </xf>
    <xf numFmtId="0" fontId="2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15" fillId="0" borderId="5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34" xfId="0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23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" fontId="9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34" fillId="0" borderId="5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9" fillId="0" borderId="51" xfId="0" applyNumberFormat="1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10" fillId="0" borderId="5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chartsheet" Target="chartsheets/sheet1.xml" /><Relationship Id="rId25" Type="http://schemas.openxmlformats.org/officeDocument/2006/relationships/chartsheet" Target="chartsheets/sheet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B1: Robustness with respect to the rate of return (1)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8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share of inherited wealth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7"/>
              <c:pt idx="0">
                <c:v>1872</c:v>
              </c:pt>
              <c:pt idx="1">
                <c:v>1882</c:v>
              </c:pt>
              <c:pt idx="2">
                <c:v>1912</c:v>
              </c:pt>
              <c:pt idx="3">
                <c:v>1922</c:v>
              </c:pt>
              <c:pt idx="4">
                <c:v>1927</c:v>
              </c:pt>
              <c:pt idx="5">
                <c:v>1932</c:v>
              </c:pt>
              <c:pt idx="6">
                <c:v>1937</c:v>
              </c:pt>
            </c:numLit>
          </c:cat>
          <c:val>
            <c:numRef>
              <c:f>TableB18!$M$33:$M$39</c:f>
              <c:numCache>
                <c:ptCount val="7"/>
                <c:pt idx="0">
                  <c:v>0.694953</c:v>
                </c:pt>
                <c:pt idx="1">
                  <c:v>0.6920822</c:v>
                </c:pt>
                <c:pt idx="2">
                  <c:v>0.6783895</c:v>
                </c:pt>
                <c:pt idx="3">
                  <c:v>0.6810685</c:v>
                </c:pt>
                <c:pt idx="4">
                  <c:v>0.6467876</c:v>
                </c:pt>
                <c:pt idx="5">
                  <c:v>0.6300871</c:v>
                </c:pt>
                <c:pt idx="6">
                  <c:v>0.6793565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7"/>
              <c:pt idx="0">
                <c:v>1872</c:v>
              </c:pt>
              <c:pt idx="1">
                <c:v>1882</c:v>
              </c:pt>
              <c:pt idx="2">
                <c:v>1912</c:v>
              </c:pt>
              <c:pt idx="3">
                <c:v>1922</c:v>
              </c:pt>
              <c:pt idx="4">
                <c:v>1927</c:v>
              </c:pt>
              <c:pt idx="5">
                <c:v>1932</c:v>
              </c:pt>
              <c:pt idx="6">
                <c:v>1937</c:v>
              </c:pt>
            </c:numLit>
          </c:cat>
          <c:val>
            <c:numRef>
              <c:f>TableB18!$G$33:$G$39</c:f>
              <c:numCache>
                <c:ptCount val="7"/>
                <c:pt idx="0">
                  <c:v>0.7158792</c:v>
                </c:pt>
                <c:pt idx="1">
                  <c:v>0.7186404</c:v>
                </c:pt>
                <c:pt idx="2">
                  <c:v>0.7371832</c:v>
                </c:pt>
                <c:pt idx="3">
                  <c:v>0.7146154</c:v>
                </c:pt>
                <c:pt idx="4">
                  <c:v>0.6828001</c:v>
                </c:pt>
                <c:pt idx="5">
                  <c:v>0.674965</c:v>
                </c:pt>
                <c:pt idx="6">
                  <c:v>0.7081151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7"/>
              <c:pt idx="0">
                <c:v>1872</c:v>
              </c:pt>
              <c:pt idx="1">
                <c:v>1882</c:v>
              </c:pt>
              <c:pt idx="2">
                <c:v>1912</c:v>
              </c:pt>
              <c:pt idx="3">
                <c:v>1922</c:v>
              </c:pt>
              <c:pt idx="4">
                <c:v>1927</c:v>
              </c:pt>
              <c:pt idx="5">
                <c:v>1932</c:v>
              </c:pt>
              <c:pt idx="6">
                <c:v>1937</c:v>
              </c:pt>
            </c:numLit>
          </c:cat>
          <c:val>
            <c:numRef>
              <c:f>TableB18!$L$33:$L$39</c:f>
              <c:numCache>
                <c:ptCount val="7"/>
                <c:pt idx="0">
                  <c:v>0.5796332</c:v>
                </c:pt>
                <c:pt idx="1">
                  <c:v>0.5723373</c:v>
                </c:pt>
                <c:pt idx="2">
                  <c:v>0.5807163</c:v>
                </c:pt>
                <c:pt idx="3">
                  <c:v>0.5496352</c:v>
                </c:pt>
                <c:pt idx="4">
                  <c:v>0.528051</c:v>
                </c:pt>
                <c:pt idx="5">
                  <c:v>0.5481203</c:v>
                </c:pt>
                <c:pt idx="6">
                  <c:v>0.6076034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7"/>
              <c:pt idx="0">
                <c:v>1872</c:v>
              </c:pt>
              <c:pt idx="1">
                <c:v>1882</c:v>
              </c:pt>
              <c:pt idx="2">
                <c:v>1912</c:v>
              </c:pt>
              <c:pt idx="3">
                <c:v>1922</c:v>
              </c:pt>
              <c:pt idx="4">
                <c:v>1927</c:v>
              </c:pt>
              <c:pt idx="5">
                <c:v>1932</c:v>
              </c:pt>
              <c:pt idx="6">
                <c:v>1937</c:v>
              </c:pt>
            </c:numLit>
          </c:cat>
          <c:val>
            <c:numRef>
              <c:f>TableB18!$F$33:$F$39</c:f>
              <c:numCache>
                <c:ptCount val="7"/>
                <c:pt idx="0">
                  <c:v>0.6146291</c:v>
                </c:pt>
                <c:pt idx="1">
                  <c:v>0.6169475</c:v>
                </c:pt>
                <c:pt idx="2">
                  <c:v>0.6524444</c:v>
                </c:pt>
                <c:pt idx="3">
                  <c:v>0.5866986</c:v>
                </c:pt>
                <c:pt idx="4">
                  <c:v>0.5943874</c:v>
                </c:pt>
                <c:pt idx="5">
                  <c:v>0.6070089</c:v>
                </c:pt>
                <c:pt idx="6">
                  <c:v>0.6344545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TableB18!$Z$33:$Z$39</c:f>
              <c:numCache>
                <c:ptCount val="7"/>
                <c:pt idx="0">
                  <c:v>0.08998036503030017</c:v>
                </c:pt>
                <c:pt idx="1">
                  <c:v>0.09026035334174023</c:v>
                </c:pt>
                <c:pt idx="2">
                  <c:v>0.07964902051377727</c:v>
                </c:pt>
                <c:pt idx="3">
                  <c:v>0.10662290343022846</c:v>
                </c:pt>
                <c:pt idx="4">
                  <c:v>0.0866208440286186</c:v>
                </c:pt>
                <c:pt idx="5">
                  <c:v>0.10378648496268938</c:v>
                </c:pt>
                <c:pt idx="6">
                  <c:v>0.10101916108530921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TableB18!$X$33:$X$39</c:f>
              <c:numCache>
                <c:ptCount val="7"/>
                <c:pt idx="0">
                  <c:v>0.09143165710527551</c:v>
                </c:pt>
                <c:pt idx="1">
                  <c:v>0.09254455132408576</c:v>
                </c:pt>
                <c:pt idx="2">
                  <c:v>0.08279936617680826</c:v>
                </c:pt>
                <c:pt idx="3">
                  <c:v>0.10975469832378527</c:v>
                </c:pt>
                <c:pt idx="4">
                  <c:v>0.08806110071546507</c:v>
                </c:pt>
                <c:pt idx="5">
                  <c:v>0.10950386161151729</c:v>
                </c:pt>
                <c:pt idx="6">
                  <c:v>0.10398115517803308</c:v>
                </c:pt>
              </c:numCache>
            </c:numRef>
          </c:val>
          <c:smooth val="0"/>
        </c:ser>
        <c:ser>
          <c:idx val="6"/>
          <c:order val="6"/>
          <c:tx>
            <c:v>Total share of inherited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TableB18!$P$9:$P$15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7"/>
          <c:order val="7"/>
          <c:tx>
            <c:v>Share of rentiers in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TableB18!$O$9:$O$15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8"/>
          <c:order val="8"/>
          <c:tx>
            <c:v>Share of rentiers in population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TableB18!$N$9:$N$15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27309834"/>
        <c:axId val="44461915"/>
      </c:lineChart>
      <c:catAx>
        <c:axId val="2730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At val="0"/>
        <c:auto val="1"/>
        <c:lblOffset val="100"/>
        <c:tickLblSkip val="1"/>
        <c:tickMarkSkip val="10"/>
        <c:noMultiLvlLbl val="0"/>
      </c:catAx>
      <c:valAx>
        <c:axId val="44461915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18275"/>
          <c:y val="0.388"/>
          <c:w val="0.513"/>
          <c:h val="0.356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B2: Robustness with respect to the rate of return (2)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8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share of inherited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7"/>
              <c:pt idx="0">
                <c:v>1872</c:v>
              </c:pt>
              <c:pt idx="1">
                <c:v>1882</c:v>
              </c:pt>
              <c:pt idx="2">
                <c:v>1912</c:v>
              </c:pt>
              <c:pt idx="3">
                <c:v>1922</c:v>
              </c:pt>
              <c:pt idx="4">
                <c:v>1927</c:v>
              </c:pt>
              <c:pt idx="5">
                <c:v>1932</c:v>
              </c:pt>
              <c:pt idx="6">
                <c:v>1937</c:v>
              </c:pt>
            </c:numLit>
          </c:cat>
          <c:val>
            <c:numRef>
              <c:f>'TableB21(5%)'!$P$9:$P$15</c:f>
              <c:numCache>
                <c:ptCount val="7"/>
                <c:pt idx="0">
                  <c:v>0.6860317021069137</c:v>
                </c:pt>
                <c:pt idx="1">
                  <c:v>0.6840273721973467</c:v>
                </c:pt>
                <c:pt idx="2">
                  <c:v>0.7485989626144266</c:v>
                </c:pt>
                <c:pt idx="3">
                  <c:v>0.7249181632892987</c:v>
                </c:pt>
                <c:pt idx="4">
                  <c:v>0.6650121642664693</c:v>
                </c:pt>
                <c:pt idx="5">
                  <c:v>0.6173405405318448</c:v>
                </c:pt>
                <c:pt idx="6">
                  <c:v>0.6569861321109646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7"/>
              <c:pt idx="0">
                <c:v>1872</c:v>
              </c:pt>
              <c:pt idx="1">
                <c:v>1882</c:v>
              </c:pt>
              <c:pt idx="2">
                <c:v>1912</c:v>
              </c:pt>
              <c:pt idx="3">
                <c:v>1922</c:v>
              </c:pt>
              <c:pt idx="4">
                <c:v>1927</c:v>
              </c:pt>
              <c:pt idx="5">
                <c:v>1932</c:v>
              </c:pt>
              <c:pt idx="6">
                <c:v>1937</c:v>
              </c:pt>
            </c:numLit>
          </c:cat>
          <c:val>
            <c:numRef>
              <c:f>'TableB21(3%)'!$P$9:$P$15</c:f>
              <c:numCache>
                <c:ptCount val="7"/>
                <c:pt idx="0">
                  <c:v>0.6181566426562922</c:v>
                </c:pt>
                <c:pt idx="1">
                  <c:v>0.6017783434542274</c:v>
                </c:pt>
                <c:pt idx="2">
                  <c:v>0.7039125006052651</c:v>
                </c:pt>
                <c:pt idx="3">
                  <c:v>0.6721140463491585</c:v>
                </c:pt>
                <c:pt idx="4">
                  <c:v>0.6014405609369782</c:v>
                </c:pt>
                <c:pt idx="5">
                  <c:v>0.5527803320439212</c:v>
                </c:pt>
                <c:pt idx="6">
                  <c:v>0.5987534409213604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7"/>
              <c:pt idx="0">
                <c:v>1872</c:v>
              </c:pt>
              <c:pt idx="1">
                <c:v>1882</c:v>
              </c:pt>
              <c:pt idx="2">
                <c:v>1912</c:v>
              </c:pt>
              <c:pt idx="3">
                <c:v>1922</c:v>
              </c:pt>
              <c:pt idx="4">
                <c:v>1927</c:v>
              </c:pt>
              <c:pt idx="5">
                <c:v>1932</c:v>
              </c:pt>
              <c:pt idx="6">
                <c:v>1937</c:v>
              </c:pt>
            </c:numLit>
          </c:cat>
          <c:val>
            <c:numRef>
              <c:f>'TableB21(5%)'!$O$9:$O$15</c:f>
              <c:numCache>
                <c:ptCount val="7"/>
                <c:pt idx="0">
                  <c:v>0.5815651289986646</c:v>
                </c:pt>
                <c:pt idx="1">
                  <c:v>0.5553964092527632</c:v>
                </c:pt>
                <c:pt idx="2">
                  <c:v>0.6587554193032578</c:v>
                </c:pt>
                <c:pt idx="3">
                  <c:v>0.6556635625337095</c:v>
                </c:pt>
                <c:pt idx="4">
                  <c:v>0.5665645865340674</c:v>
                </c:pt>
                <c:pt idx="5">
                  <c:v>0.5025884792679993</c:v>
                </c:pt>
                <c:pt idx="6">
                  <c:v>0.5691640970758491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7"/>
              <c:pt idx="0">
                <c:v>1872</c:v>
              </c:pt>
              <c:pt idx="1">
                <c:v>1882</c:v>
              </c:pt>
              <c:pt idx="2">
                <c:v>1912</c:v>
              </c:pt>
              <c:pt idx="3">
                <c:v>1922</c:v>
              </c:pt>
              <c:pt idx="4">
                <c:v>1927</c:v>
              </c:pt>
              <c:pt idx="5">
                <c:v>1932</c:v>
              </c:pt>
              <c:pt idx="6">
                <c:v>1937</c:v>
              </c:pt>
            </c:numLit>
          </c:cat>
          <c:val>
            <c:numRef>
              <c:f>'TableB21(3%)'!$O$9:$O$15</c:f>
              <c:numCache>
                <c:ptCount val="7"/>
                <c:pt idx="0">
                  <c:v>0.48027769207728926</c:v>
                </c:pt>
                <c:pt idx="1">
                  <c:v>0.44175005637250925</c:v>
                </c:pt>
                <c:pt idx="2">
                  <c:v>0.5923545781101883</c:v>
                </c:pt>
                <c:pt idx="3">
                  <c:v>0.5445502679004659</c:v>
                </c:pt>
                <c:pt idx="4">
                  <c:v>0.46258744277387065</c:v>
                </c:pt>
                <c:pt idx="5">
                  <c:v>0.4358986276226699</c:v>
                </c:pt>
                <c:pt idx="6">
                  <c:v>0.4751418262619335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'TableB21(5%)'!$N$9:$N$15</c:f>
              <c:numCache>
                <c:ptCount val="7"/>
                <c:pt idx="0">
                  <c:v>0.08396784080424673</c:v>
                </c:pt>
                <c:pt idx="1">
                  <c:v>0.08612639785624211</c:v>
                </c:pt>
                <c:pt idx="2">
                  <c:v>0.0877303578099885</c:v>
                </c:pt>
                <c:pt idx="3">
                  <c:v>0.11587589255251432</c:v>
                </c:pt>
                <c:pt idx="4">
                  <c:v>0.08771817501375895</c:v>
                </c:pt>
                <c:pt idx="5">
                  <c:v>0.10553343785332027</c:v>
                </c:pt>
                <c:pt idx="6">
                  <c:v>0.09961613126374969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'TableB21(3%)'!$N$9:$N$15</c:f>
              <c:numCache>
                <c:ptCount val="7"/>
                <c:pt idx="0">
                  <c:v>0.07277213059613848</c:v>
                </c:pt>
                <c:pt idx="1">
                  <c:v>0.07139128575031525</c:v>
                </c:pt>
                <c:pt idx="2">
                  <c:v>0.0722525470522388</c:v>
                </c:pt>
                <c:pt idx="3">
                  <c:v>0.10078640309781456</c:v>
                </c:pt>
                <c:pt idx="4">
                  <c:v>0.07770499460649422</c:v>
                </c:pt>
                <c:pt idx="5">
                  <c:v>0.09020766774704153</c:v>
                </c:pt>
                <c:pt idx="6">
                  <c:v>0.07841453825470544</c:v>
                </c:pt>
              </c:numCache>
            </c:numRef>
          </c:val>
          <c:smooth val="0"/>
        </c:ser>
        <c:ser>
          <c:idx val="6"/>
          <c:order val="6"/>
          <c:tx>
            <c:v>Total share of inherited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TableB18!$P$9:$P$15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7"/>
          <c:order val="7"/>
          <c:tx>
            <c:v>Share of rentiers in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TableB18!$O$9:$O$15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8"/>
          <c:order val="8"/>
          <c:tx>
            <c:v>Share of rentiers in population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TableB18!$N$9:$N$15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64612916"/>
        <c:axId val="44645333"/>
      </c:lineChart>
      <c:cat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At val="0"/>
        <c:auto val="1"/>
        <c:lblOffset val="100"/>
        <c:tickLblSkip val="1"/>
        <c:tickMarkSkip val="10"/>
        <c:noMultiLvlLbl val="0"/>
      </c:catAx>
      <c:valAx>
        <c:axId val="44645333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612916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262"/>
          <c:y val="0.4655"/>
          <c:w val="0.513"/>
          <c:h val="0.295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December2009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December2009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April2010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A3" sqref="A3:L20"/>
    </sheetView>
  </sheetViews>
  <sheetFormatPr defaultColWidth="11.5546875" defaultRowHeight="15"/>
  <cols>
    <col min="1" max="1" width="10.6640625" style="0" customWidth="1"/>
    <col min="2" max="2" width="8.3359375" style="0" customWidth="1"/>
    <col min="3" max="3" width="9.3359375" style="0" customWidth="1"/>
    <col min="4" max="4" width="8.77734375" style="0" customWidth="1"/>
    <col min="5" max="5" width="9.3359375" style="0" customWidth="1"/>
    <col min="6" max="7" width="8.77734375" style="0" customWidth="1"/>
    <col min="8" max="8" width="9.3359375" style="0" customWidth="1"/>
    <col min="9" max="11" width="8.77734375" style="0" customWidth="1"/>
    <col min="12" max="12" width="9.3359375" style="0" customWidth="1"/>
    <col min="13" max="30" width="10.77734375" style="0" customWidth="1"/>
    <col min="31" max="16384" width="8.88671875" style="0" customWidth="1"/>
  </cols>
  <sheetData>
    <row r="1" spans="1:12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thickTop="1">
      <c r="A3" s="346" t="s">
        <v>259</v>
      </c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22"/>
      <c r="M3" s="3"/>
    </row>
    <row r="4" spans="1:12" ht="18" customHeight="1" thickBot="1">
      <c r="A4" s="127"/>
      <c r="B4" s="5"/>
      <c r="C4" s="323"/>
      <c r="D4" s="323"/>
      <c r="E4" s="323"/>
      <c r="F4" s="323"/>
      <c r="G4" s="323"/>
      <c r="H4" s="323"/>
      <c r="I4" s="323"/>
      <c r="J4" s="323"/>
      <c r="K4" s="323"/>
      <c r="L4" s="324"/>
    </row>
    <row r="5" spans="1:13" ht="34.5" customHeight="1">
      <c r="A5" s="128"/>
      <c r="B5" s="342" t="s">
        <v>257</v>
      </c>
      <c r="C5" s="335" t="s">
        <v>255</v>
      </c>
      <c r="D5" s="338" t="s">
        <v>256</v>
      </c>
      <c r="E5" s="330" t="s">
        <v>102</v>
      </c>
      <c r="F5" s="335" t="s">
        <v>95</v>
      </c>
      <c r="G5" s="338" t="s">
        <v>258</v>
      </c>
      <c r="H5" s="330" t="s">
        <v>1</v>
      </c>
      <c r="I5" s="342" t="s">
        <v>5</v>
      </c>
      <c r="J5" s="335" t="s">
        <v>95</v>
      </c>
      <c r="K5" s="338" t="s">
        <v>258</v>
      </c>
      <c r="L5" s="325" t="s">
        <v>1</v>
      </c>
      <c r="M5" s="9"/>
    </row>
    <row r="6" spans="1:13" ht="34.5" customHeight="1">
      <c r="A6" s="128"/>
      <c r="B6" s="343"/>
      <c r="C6" s="336"/>
      <c r="D6" s="339"/>
      <c r="E6" s="331"/>
      <c r="F6" s="336"/>
      <c r="G6" s="339"/>
      <c r="H6" s="331"/>
      <c r="I6" s="343"/>
      <c r="J6" s="336"/>
      <c r="K6" s="339"/>
      <c r="L6" s="326"/>
      <c r="M6" s="9"/>
    </row>
    <row r="7" spans="1:13" ht="18" customHeight="1">
      <c r="A7" s="129"/>
      <c r="B7" s="344"/>
      <c r="C7" s="337"/>
      <c r="D7" s="340"/>
      <c r="E7" s="341"/>
      <c r="F7" s="332" t="s">
        <v>2</v>
      </c>
      <c r="G7" s="333"/>
      <c r="H7" s="334"/>
      <c r="I7" s="344"/>
      <c r="J7" s="332" t="s">
        <v>4</v>
      </c>
      <c r="K7" s="333"/>
      <c r="L7" s="345"/>
      <c r="M7" s="9"/>
    </row>
    <row r="8" spans="1:12" ht="1.5" customHeight="1">
      <c r="A8" s="130"/>
      <c r="B8" s="155"/>
      <c r="C8" s="139" t="s">
        <v>187</v>
      </c>
      <c r="D8" s="6" t="s">
        <v>188</v>
      </c>
      <c r="E8" s="140"/>
      <c r="F8" s="139" t="s">
        <v>189</v>
      </c>
      <c r="G8" s="6"/>
      <c r="H8" s="140"/>
      <c r="I8" s="152"/>
      <c r="J8" s="150"/>
      <c r="K8" s="12"/>
      <c r="L8" s="131"/>
    </row>
    <row r="9" spans="1:12" ht="18" customHeight="1">
      <c r="A9" s="132">
        <v>1872</v>
      </c>
      <c r="B9" s="156">
        <v>0.8742812551338919</v>
      </c>
      <c r="C9" s="141">
        <v>21287</v>
      </c>
      <c r="D9" s="30">
        <v>6064</v>
      </c>
      <c r="E9" s="142">
        <f aca="true" t="shared" si="0" ref="E9:E16">D9/C9</f>
        <v>0.2848686992060882</v>
      </c>
      <c r="F9" s="141">
        <v>88070.14</v>
      </c>
      <c r="G9" s="30">
        <f aca="true" t="shared" si="1" ref="G9:G15">E9*F9</f>
        <v>25088.42622069808</v>
      </c>
      <c r="H9" s="146">
        <f aca="true" t="shared" si="2" ref="H9:H15">C9*G9/(B9*1000000)</f>
        <v>610.8530016215568</v>
      </c>
      <c r="I9" s="153">
        <v>97.24703183129381</v>
      </c>
      <c r="J9" s="141">
        <f aca="true" t="shared" si="3" ref="J9:L10">100*F9/$I9</f>
        <v>90563.31935434896</v>
      </c>
      <c r="K9" s="30">
        <f t="shared" si="3"/>
        <v>25798.65498025894</v>
      </c>
      <c r="L9" s="161">
        <f t="shared" si="3"/>
        <v>628.1456514593447</v>
      </c>
    </row>
    <row r="10" spans="1:12" ht="18" customHeight="1">
      <c r="A10" s="132">
        <v>1882</v>
      </c>
      <c r="B10" s="156">
        <v>0.9080499255696782</v>
      </c>
      <c r="C10" s="141">
        <v>31720</v>
      </c>
      <c r="D10" s="30">
        <v>8120</v>
      </c>
      <c r="E10" s="142">
        <f>D10/C10</f>
        <v>0.25598991172761665</v>
      </c>
      <c r="F10" s="141">
        <v>98563.86</v>
      </c>
      <c r="G10" s="30">
        <f>E10*F10</f>
        <v>25231.353820933167</v>
      </c>
      <c r="H10" s="146">
        <f>C10*G10/(B10*1000000)</f>
        <v>881.3816516728374</v>
      </c>
      <c r="I10" s="153">
        <v>97.6380440217224</v>
      </c>
      <c r="J10" s="141">
        <f t="shared" si="3"/>
        <v>100948.21233624019</v>
      </c>
      <c r="K10" s="30">
        <f t="shared" si="3"/>
        <v>25841.723965014833</v>
      </c>
      <c r="L10" s="161">
        <f t="shared" si="3"/>
        <v>902.703101545898</v>
      </c>
    </row>
    <row r="11" spans="1:13" ht="21.75" customHeight="1">
      <c r="A11" s="132">
        <v>1912</v>
      </c>
      <c r="B11" s="156">
        <v>0.9498105286115428</v>
      </c>
      <c r="C11" s="141">
        <v>34840</v>
      </c>
      <c r="D11" s="30">
        <v>9747</v>
      </c>
      <c r="E11" s="142">
        <f t="shared" si="0"/>
        <v>0.2797646383467279</v>
      </c>
      <c r="F11" s="141">
        <v>133547.2</v>
      </c>
      <c r="G11" s="30">
        <f t="shared" si="1"/>
        <v>37361.78411021814</v>
      </c>
      <c r="H11" s="146">
        <f t="shared" si="2"/>
        <v>1370.4676029469117</v>
      </c>
      <c r="I11" s="153">
        <v>100</v>
      </c>
      <c r="J11" s="141">
        <f aca="true" t="shared" si="4" ref="J11:L14">100*F11/$I11</f>
        <v>133547.2</v>
      </c>
      <c r="K11" s="30">
        <f t="shared" si="4"/>
        <v>37361.78411021814</v>
      </c>
      <c r="L11" s="161">
        <f t="shared" si="4"/>
        <v>1370.4676029469117</v>
      </c>
      <c r="M11" s="8"/>
    </row>
    <row r="12" spans="1:13" ht="21.75" customHeight="1">
      <c r="A12" s="132">
        <v>1922</v>
      </c>
      <c r="B12" s="156">
        <v>0.8491891891891892</v>
      </c>
      <c r="C12" s="141">
        <v>28278</v>
      </c>
      <c r="D12" s="30">
        <v>9164</v>
      </c>
      <c r="E12" s="142">
        <f t="shared" si="0"/>
        <v>0.32406818021076456</v>
      </c>
      <c r="F12" s="141">
        <v>166270.2</v>
      </c>
      <c r="G12" s="30">
        <f t="shared" si="1"/>
        <v>53882.88113727987</v>
      </c>
      <c r="H12" s="146">
        <f t="shared" si="2"/>
        <v>1794.2999418714194</v>
      </c>
      <c r="I12" s="153">
        <v>311.53689918665935</v>
      </c>
      <c r="J12" s="141">
        <f t="shared" si="4"/>
        <v>53370.949134464536</v>
      </c>
      <c r="K12" s="30">
        <f t="shared" si="4"/>
        <v>17295.8263621272</v>
      </c>
      <c r="L12" s="161">
        <f t="shared" si="4"/>
        <v>575.9510178588357</v>
      </c>
      <c r="M12" s="8"/>
    </row>
    <row r="13" spans="1:13" ht="21.75" customHeight="1">
      <c r="A13" s="132">
        <v>1927</v>
      </c>
      <c r="B13" s="156">
        <v>0.9719634990560101</v>
      </c>
      <c r="C13" s="141">
        <v>30889</v>
      </c>
      <c r="D13" s="30">
        <v>9656</v>
      </c>
      <c r="E13" s="142">
        <f t="shared" si="0"/>
        <v>0.31260319207484866</v>
      </c>
      <c r="F13" s="141">
        <v>257834.6</v>
      </c>
      <c r="G13" s="30">
        <f t="shared" si="1"/>
        <v>80599.91898734178</v>
      </c>
      <c r="H13" s="146">
        <f t="shared" si="2"/>
        <v>2561.465425417722</v>
      </c>
      <c r="I13" s="153">
        <v>574.0288406537687</v>
      </c>
      <c r="J13" s="141">
        <f t="shared" si="4"/>
        <v>44916.66302103373</v>
      </c>
      <c r="K13" s="30">
        <f t="shared" si="4"/>
        <v>14041.092237725461</v>
      </c>
      <c r="L13" s="161">
        <f t="shared" si="4"/>
        <v>446.22591131491527</v>
      </c>
      <c r="M13" s="8"/>
    </row>
    <row r="14" spans="1:13" ht="21.75" customHeight="1">
      <c r="A14" s="132">
        <v>1932</v>
      </c>
      <c r="B14" s="156">
        <v>0.836375098502758</v>
      </c>
      <c r="C14" s="141">
        <v>26534</v>
      </c>
      <c r="D14" s="30">
        <v>10120</v>
      </c>
      <c r="E14" s="142">
        <f t="shared" si="0"/>
        <v>0.38139745232531846</v>
      </c>
      <c r="F14" s="141">
        <v>273138.8</v>
      </c>
      <c r="G14" s="30">
        <f t="shared" si="1"/>
        <v>104174.44245119469</v>
      </c>
      <c r="H14" s="146">
        <f t="shared" si="2"/>
        <v>3304.9341867641515</v>
      </c>
      <c r="I14" s="153">
        <v>536.8971118800886</v>
      </c>
      <c r="J14" s="141">
        <f t="shared" si="4"/>
        <v>50873.58340288544</v>
      </c>
      <c r="K14" s="30">
        <f t="shared" si="4"/>
        <v>19403.055100520112</v>
      </c>
      <c r="L14" s="161">
        <f t="shared" si="4"/>
        <v>615.5619230640006</v>
      </c>
      <c r="M14" s="8"/>
    </row>
    <row r="15" spans="1:13" ht="21.75" customHeight="1">
      <c r="A15" s="132">
        <v>1937</v>
      </c>
      <c r="B15" s="156">
        <v>0.810794741362225</v>
      </c>
      <c r="C15" s="141">
        <v>24546</v>
      </c>
      <c r="D15" s="30">
        <v>10370</v>
      </c>
      <c r="E15" s="142">
        <f t="shared" si="0"/>
        <v>0.4224720932127434</v>
      </c>
      <c r="F15" s="141">
        <v>220017.1</v>
      </c>
      <c r="G15" s="30">
        <f t="shared" si="1"/>
        <v>92951.0847795975</v>
      </c>
      <c r="H15" s="146">
        <f t="shared" si="2"/>
        <v>2814.001140617535</v>
      </c>
      <c r="I15" s="153">
        <v>616.2850503944285</v>
      </c>
      <c r="J15" s="141">
        <f>100*F15/$I15</f>
        <v>35700.541471708086</v>
      </c>
      <c r="K15" s="30">
        <f>100*G15/$I15</f>
        <v>15082.482484380871</v>
      </c>
      <c r="L15" s="161">
        <f>100*H15/$I15</f>
        <v>456.60707473214654</v>
      </c>
      <c r="M15" s="8"/>
    </row>
    <row r="16" spans="1:12" ht="18" customHeight="1" thickBot="1">
      <c r="A16" s="162" t="s">
        <v>442</v>
      </c>
      <c r="B16" s="157"/>
      <c r="C16" s="143">
        <f>SUM(C9:C15)</f>
        <v>198094</v>
      </c>
      <c r="D16" s="144">
        <f>SUM(D9:D15)</f>
        <v>63241</v>
      </c>
      <c r="E16" s="145">
        <f t="shared" si="0"/>
        <v>0.3192474279887326</v>
      </c>
      <c r="F16" s="147"/>
      <c r="G16" s="148"/>
      <c r="H16" s="149"/>
      <c r="I16" s="154"/>
      <c r="J16" s="147"/>
      <c r="K16" s="148"/>
      <c r="L16" s="163"/>
    </row>
    <row r="17" spans="1:12" ht="15">
      <c r="A17" s="164" t="s">
        <v>332</v>
      </c>
      <c r="B17" s="165"/>
      <c r="C17" s="47"/>
      <c r="D17" s="47"/>
      <c r="E17" s="47"/>
      <c r="F17" s="47"/>
      <c r="G17" s="47"/>
      <c r="H17" s="47"/>
      <c r="I17" s="47"/>
      <c r="J17" s="47"/>
      <c r="K17" s="47"/>
      <c r="L17" s="166"/>
    </row>
    <row r="18" spans="1:12" ht="15">
      <c r="A18" s="167" t="s">
        <v>333</v>
      </c>
      <c r="B18" s="47"/>
      <c r="C18" s="168"/>
      <c r="D18" s="169"/>
      <c r="E18" s="47"/>
      <c r="F18" s="47"/>
      <c r="G18" s="47"/>
      <c r="H18" s="47"/>
      <c r="I18" s="47"/>
      <c r="J18" s="47"/>
      <c r="K18" s="47"/>
      <c r="L18" s="166"/>
    </row>
    <row r="19" spans="1:12" ht="15" thickBot="1">
      <c r="A19" s="170" t="s">
        <v>334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1:12" ht="15.75" thickBot="1" thickTop="1">
      <c r="A20" s="327" t="s">
        <v>449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9"/>
    </row>
    <row r="21" ht="15" thickTop="1">
      <c r="C21" s="100"/>
    </row>
  </sheetData>
  <mergeCells count="16">
    <mergeCell ref="A3:L3"/>
    <mergeCell ref="C4:L4"/>
    <mergeCell ref="F5:F6"/>
    <mergeCell ref="J5:J6"/>
    <mergeCell ref="K5:K6"/>
    <mergeCell ref="L5:L6"/>
    <mergeCell ref="G5:G6"/>
    <mergeCell ref="A20:L20"/>
    <mergeCell ref="H5:H6"/>
    <mergeCell ref="F7:H7"/>
    <mergeCell ref="C5:C7"/>
    <mergeCell ref="D5:D7"/>
    <mergeCell ref="E5:E7"/>
    <mergeCell ref="B5:B7"/>
    <mergeCell ref="J7:L7"/>
    <mergeCell ref="I5:I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3" sqref="A3:J45"/>
    </sheetView>
  </sheetViews>
  <sheetFormatPr defaultColWidth="11.5546875" defaultRowHeight="15"/>
  <cols>
    <col min="1" max="10" width="9.6640625" style="0" customWidth="1"/>
    <col min="11" max="24" width="10.77734375" style="0" customWidth="1"/>
    <col min="25" max="16384" width="8.88671875" style="0" customWidth="1"/>
  </cols>
  <sheetData>
    <row r="1" spans="1:10" ht="15">
      <c r="A1" s="55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370" t="s">
        <v>460</v>
      </c>
      <c r="B3" s="371"/>
      <c r="C3" s="371"/>
      <c r="D3" s="371"/>
      <c r="E3" s="371"/>
      <c r="F3" s="371"/>
      <c r="G3" s="371"/>
      <c r="H3" s="371"/>
      <c r="I3" s="371"/>
      <c r="J3" s="377"/>
    </row>
    <row r="4" spans="1:10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</row>
    <row r="5" spans="1:10" ht="18" customHeight="1">
      <c r="A5" s="389"/>
      <c r="B5" s="396" t="s">
        <v>52</v>
      </c>
      <c r="C5" s="397"/>
      <c r="D5" s="397"/>
      <c r="E5" s="397"/>
      <c r="F5" s="398"/>
      <c r="G5" s="398"/>
      <c r="H5" s="398"/>
      <c r="I5" s="398"/>
      <c r="J5" s="399"/>
    </row>
    <row r="6" spans="1:10" ht="18" customHeight="1">
      <c r="A6" s="390"/>
      <c r="B6" s="400"/>
      <c r="C6" s="401"/>
      <c r="D6" s="401"/>
      <c r="E6" s="401"/>
      <c r="F6" s="401"/>
      <c r="G6" s="401"/>
      <c r="H6" s="401"/>
      <c r="I6" s="401"/>
      <c r="J6" s="402"/>
    </row>
    <row r="7" spans="1:10" ht="18" customHeight="1">
      <c r="A7" s="391"/>
      <c r="B7" s="59" t="s">
        <v>53</v>
      </c>
      <c r="C7" s="16" t="s">
        <v>54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82" t="s">
        <v>29</v>
      </c>
    </row>
    <row r="8" spans="1:10" ht="1.5" customHeight="1">
      <c r="A8" s="130"/>
      <c r="B8" s="60" t="s">
        <v>63</v>
      </c>
      <c r="C8" s="6" t="s">
        <v>461</v>
      </c>
      <c r="D8" s="6" t="s">
        <v>462</v>
      </c>
      <c r="E8" s="6" t="s">
        <v>463</v>
      </c>
      <c r="F8" s="6" t="s">
        <v>464</v>
      </c>
      <c r="G8" s="6" t="s">
        <v>465</v>
      </c>
      <c r="H8" s="12" t="s">
        <v>466</v>
      </c>
      <c r="I8" s="12" t="s">
        <v>467</v>
      </c>
      <c r="J8" s="131" t="s">
        <v>468</v>
      </c>
    </row>
    <row r="9" spans="1:10" ht="18" customHeight="1">
      <c r="A9" s="132">
        <v>1872</v>
      </c>
      <c r="B9" s="61">
        <v>0.0150225</v>
      </c>
      <c r="C9" s="22">
        <v>0.0160982</v>
      </c>
      <c r="D9" s="22">
        <v>0.0290694</v>
      </c>
      <c r="E9" s="22">
        <v>0.001456</v>
      </c>
      <c r="F9" s="22">
        <v>0.0053932</v>
      </c>
      <c r="G9" s="22">
        <v>0.0191624</v>
      </c>
      <c r="H9" s="22">
        <v>0.0258951</v>
      </c>
      <c r="I9" s="22">
        <v>0.014793</v>
      </c>
      <c r="J9" s="183">
        <v>0.0136562</v>
      </c>
    </row>
    <row r="10" spans="1:10" ht="18" customHeight="1">
      <c r="A10" s="132">
        <v>1882</v>
      </c>
      <c r="B10" s="61">
        <v>0.0353339</v>
      </c>
      <c r="C10" s="22">
        <v>0.0312721</v>
      </c>
      <c r="D10" s="22">
        <v>0.0029326</v>
      </c>
      <c r="E10" s="22">
        <v>0.0142544</v>
      </c>
      <c r="F10" s="22">
        <v>0.0057622</v>
      </c>
      <c r="G10" s="22">
        <v>0.0462944</v>
      </c>
      <c r="H10" s="22">
        <v>0.0495743</v>
      </c>
      <c r="I10" s="22">
        <v>0.035283</v>
      </c>
      <c r="J10" s="183">
        <v>0.0238615</v>
      </c>
    </row>
    <row r="11" spans="1:10" ht="18" customHeight="1">
      <c r="A11" s="132">
        <v>1912</v>
      </c>
      <c r="B11" s="61">
        <v>0.044246</v>
      </c>
      <c r="C11" s="22">
        <v>0.0486771</v>
      </c>
      <c r="D11" s="22">
        <v>0.0548796</v>
      </c>
      <c r="E11" s="22">
        <v>0.0535764</v>
      </c>
      <c r="F11" s="22">
        <v>0.0502624</v>
      </c>
      <c r="G11" s="22">
        <v>0.0533466</v>
      </c>
      <c r="H11" s="22">
        <v>0.0576092</v>
      </c>
      <c r="I11" s="22">
        <v>0.0445669</v>
      </c>
      <c r="J11" s="183">
        <v>0.0237259</v>
      </c>
    </row>
    <row r="12" spans="1:10" ht="18" customHeight="1">
      <c r="A12" s="132">
        <v>1922</v>
      </c>
      <c r="B12" s="61">
        <v>0.0697301</v>
      </c>
      <c r="C12" s="22">
        <v>0.0812618</v>
      </c>
      <c r="D12" s="22">
        <v>0.0278231</v>
      </c>
      <c r="E12" s="22">
        <v>0.0510577</v>
      </c>
      <c r="F12" s="22">
        <v>0.086648</v>
      </c>
      <c r="G12" s="22">
        <v>0.0720961</v>
      </c>
      <c r="H12" s="22">
        <v>0.0481015</v>
      </c>
      <c r="I12" s="22">
        <v>0.07964</v>
      </c>
      <c r="J12" s="183">
        <v>0.0548613</v>
      </c>
    </row>
    <row r="13" spans="1:10" ht="18" customHeight="1">
      <c r="A13" s="132">
        <v>1927</v>
      </c>
      <c r="B13" s="61">
        <v>0.0539847</v>
      </c>
      <c r="C13" s="22">
        <v>0.0575474</v>
      </c>
      <c r="D13" s="22">
        <v>0.0412728</v>
      </c>
      <c r="E13" s="22">
        <v>0.0291733</v>
      </c>
      <c r="F13" s="22">
        <v>0.0676312</v>
      </c>
      <c r="G13" s="22">
        <v>0.0742746</v>
      </c>
      <c r="H13" s="22">
        <v>0.0438174</v>
      </c>
      <c r="I13" s="22">
        <v>0.0455199</v>
      </c>
      <c r="J13" s="183">
        <v>0.0380401</v>
      </c>
    </row>
    <row r="14" spans="1:10" ht="18" customHeight="1">
      <c r="A14" s="132">
        <v>1932</v>
      </c>
      <c r="B14" s="61">
        <v>0.0541502</v>
      </c>
      <c r="C14" s="22">
        <v>0.0529843</v>
      </c>
      <c r="D14" s="22">
        <v>0.0568364</v>
      </c>
      <c r="E14" s="22">
        <v>0.0749044</v>
      </c>
      <c r="F14" s="22">
        <v>0.1449646</v>
      </c>
      <c r="G14" s="22">
        <v>0.078167</v>
      </c>
      <c r="H14" s="22">
        <v>0.0415402</v>
      </c>
      <c r="I14" s="22">
        <v>0.0404298</v>
      </c>
      <c r="J14" s="183">
        <v>0.0558691</v>
      </c>
    </row>
    <row r="15" spans="1:10" ht="18" customHeight="1">
      <c r="A15" s="132">
        <v>1937</v>
      </c>
      <c r="B15" s="61">
        <v>0.067678</v>
      </c>
      <c r="C15" s="22">
        <v>0.0598993</v>
      </c>
      <c r="D15" s="22">
        <v>0.0481221</v>
      </c>
      <c r="E15" s="22">
        <v>0.0458073</v>
      </c>
      <c r="F15" s="22">
        <v>0.1506671</v>
      </c>
      <c r="G15" s="22">
        <v>0.0673711</v>
      </c>
      <c r="H15" s="22">
        <v>0.060063</v>
      </c>
      <c r="I15" s="22">
        <v>0.0614767</v>
      </c>
      <c r="J15" s="183">
        <v>0.0403166</v>
      </c>
    </row>
    <row r="16" spans="1:10" ht="18" customHeight="1">
      <c r="A16" s="204"/>
      <c r="B16" s="17" t="s">
        <v>50</v>
      </c>
      <c r="C16" s="16" t="s">
        <v>41</v>
      </c>
      <c r="D16" s="16" t="s">
        <v>42</v>
      </c>
      <c r="E16" s="16" t="s">
        <v>43</v>
      </c>
      <c r="F16" s="16" t="s">
        <v>44</v>
      </c>
      <c r="G16" s="16" t="s">
        <v>45</v>
      </c>
      <c r="H16" s="16" t="s">
        <v>46</v>
      </c>
      <c r="I16" s="16" t="s">
        <v>47</v>
      </c>
      <c r="J16" s="182" t="s">
        <v>48</v>
      </c>
    </row>
    <row r="17" spans="1:10" ht="1.5" customHeight="1">
      <c r="A17" s="130"/>
      <c r="B17" s="19"/>
      <c r="C17" s="6" t="s">
        <v>465</v>
      </c>
      <c r="D17" s="6" t="s">
        <v>466</v>
      </c>
      <c r="E17" s="6" t="s">
        <v>467</v>
      </c>
      <c r="F17" s="6" t="s">
        <v>468</v>
      </c>
      <c r="G17" s="6" t="s">
        <v>469</v>
      </c>
      <c r="H17" s="12" t="s">
        <v>470</v>
      </c>
      <c r="I17" s="12" t="s">
        <v>471</v>
      </c>
      <c r="J17" s="131" t="s">
        <v>472</v>
      </c>
    </row>
    <row r="18" spans="1:10" ht="18" customHeight="1">
      <c r="A18" s="132">
        <v>1872</v>
      </c>
      <c r="B18" s="21">
        <v>0</v>
      </c>
      <c r="C18" s="22">
        <v>0</v>
      </c>
      <c r="D18" s="22">
        <v>0</v>
      </c>
      <c r="E18" s="22">
        <v>0</v>
      </c>
      <c r="F18" s="22">
        <v>0.0030938</v>
      </c>
      <c r="G18" s="22">
        <v>0.0081046</v>
      </c>
      <c r="H18" s="22">
        <v>0.0146658</v>
      </c>
      <c r="I18" s="22">
        <v>0.0244318</v>
      </c>
      <c r="J18" s="183">
        <v>0.0041359</v>
      </c>
    </row>
    <row r="19" spans="1:10" ht="18" customHeight="1">
      <c r="A19" s="132">
        <v>1882</v>
      </c>
      <c r="B19" s="21">
        <v>0</v>
      </c>
      <c r="C19" s="22">
        <v>0</v>
      </c>
      <c r="D19" s="22">
        <v>0</v>
      </c>
      <c r="E19" s="22">
        <v>0.015783</v>
      </c>
      <c r="F19" s="22">
        <v>0.0154324</v>
      </c>
      <c r="G19" s="22">
        <v>0.0241299</v>
      </c>
      <c r="H19" s="22">
        <v>0.0341874</v>
      </c>
      <c r="I19" s="22">
        <v>0.0362584</v>
      </c>
      <c r="J19" s="183">
        <v>0.0430423</v>
      </c>
    </row>
    <row r="20" spans="1:10" ht="18" customHeight="1">
      <c r="A20" s="132">
        <v>1912</v>
      </c>
      <c r="B20" s="21">
        <v>0</v>
      </c>
      <c r="C20" s="22">
        <v>0</v>
      </c>
      <c r="D20" s="22">
        <v>0</v>
      </c>
      <c r="E20" s="22">
        <v>0.1228366</v>
      </c>
      <c r="F20" s="22">
        <v>0.0434286</v>
      </c>
      <c r="G20" s="22">
        <v>0.0519695</v>
      </c>
      <c r="H20" s="22">
        <v>0.0634721</v>
      </c>
      <c r="I20" s="22">
        <v>0.0436446</v>
      </c>
      <c r="J20" s="183">
        <v>0.0199563</v>
      </c>
    </row>
    <row r="21" spans="1:10" ht="18" customHeight="1">
      <c r="A21" s="132">
        <v>1922</v>
      </c>
      <c r="B21" s="21">
        <v>0</v>
      </c>
      <c r="C21" s="22">
        <v>0</v>
      </c>
      <c r="D21" s="22">
        <v>0.0241787</v>
      </c>
      <c r="E21" s="22">
        <v>0.1239468</v>
      </c>
      <c r="F21" s="22">
        <v>0.0586083</v>
      </c>
      <c r="G21" s="22">
        <v>0.0798408</v>
      </c>
      <c r="H21" s="22">
        <v>0.0769903</v>
      </c>
      <c r="I21" s="22">
        <v>0.0630802</v>
      </c>
      <c r="J21" s="183">
        <v>0.0676833</v>
      </c>
    </row>
    <row r="22" spans="1:10" ht="18" customHeight="1">
      <c r="A22" s="132">
        <v>1927</v>
      </c>
      <c r="B22" s="21">
        <v>0</v>
      </c>
      <c r="C22" s="22">
        <v>0</v>
      </c>
      <c r="D22" s="22">
        <v>0.1156632</v>
      </c>
      <c r="E22" s="22">
        <v>0.0521881</v>
      </c>
      <c r="F22" s="22">
        <v>0.0413237</v>
      </c>
      <c r="G22" s="22">
        <v>0.0485201</v>
      </c>
      <c r="H22" s="22">
        <v>0.0667102</v>
      </c>
      <c r="I22" s="22">
        <v>0.0415876</v>
      </c>
      <c r="J22" s="183">
        <v>0.0602257</v>
      </c>
    </row>
    <row r="23" spans="1:10" ht="18" customHeight="1">
      <c r="A23" s="132">
        <v>1932</v>
      </c>
      <c r="B23" s="21">
        <v>0</v>
      </c>
      <c r="C23" s="22">
        <v>0</v>
      </c>
      <c r="D23" s="22">
        <v>0.2551372</v>
      </c>
      <c r="E23" s="22">
        <v>0.1458702</v>
      </c>
      <c r="F23" s="22">
        <v>0.085618</v>
      </c>
      <c r="G23" s="22">
        <v>0.0857179</v>
      </c>
      <c r="H23" s="22">
        <v>0.0624388</v>
      </c>
      <c r="I23" s="22">
        <v>0.0572899</v>
      </c>
      <c r="J23" s="183">
        <v>0.015433</v>
      </c>
    </row>
    <row r="24" spans="1:10" ht="18" customHeight="1">
      <c r="A24" s="132">
        <v>1937</v>
      </c>
      <c r="B24" s="21">
        <v>0</v>
      </c>
      <c r="C24" s="22">
        <v>0.6341118</v>
      </c>
      <c r="D24" s="22">
        <v>0.135886</v>
      </c>
      <c r="E24" s="22">
        <v>0.074813</v>
      </c>
      <c r="F24" s="22">
        <v>0.074163</v>
      </c>
      <c r="G24" s="22">
        <v>0.0844399</v>
      </c>
      <c r="H24" s="22">
        <v>0.0807391</v>
      </c>
      <c r="I24" s="22">
        <v>0.0446507</v>
      </c>
      <c r="J24" s="183">
        <v>0.0682488</v>
      </c>
    </row>
    <row r="25" spans="1:10" ht="18" customHeight="1">
      <c r="A25" s="389"/>
      <c r="B25" s="396" t="s">
        <v>55</v>
      </c>
      <c r="C25" s="397"/>
      <c r="D25" s="397"/>
      <c r="E25" s="397"/>
      <c r="F25" s="398"/>
      <c r="G25" s="398"/>
      <c r="H25" s="398"/>
      <c r="I25" s="398"/>
      <c r="J25" s="399"/>
    </row>
    <row r="26" spans="1:10" ht="18" customHeight="1">
      <c r="A26" s="390"/>
      <c r="B26" s="400"/>
      <c r="C26" s="401"/>
      <c r="D26" s="401"/>
      <c r="E26" s="401"/>
      <c r="F26" s="401"/>
      <c r="G26" s="401"/>
      <c r="H26" s="401"/>
      <c r="I26" s="401"/>
      <c r="J26" s="402"/>
    </row>
    <row r="27" spans="1:10" ht="18" customHeight="1">
      <c r="A27" s="391"/>
      <c r="B27" s="59" t="s">
        <v>53</v>
      </c>
      <c r="C27" s="16" t="s">
        <v>54</v>
      </c>
      <c r="D27" s="16" t="s">
        <v>23</v>
      </c>
      <c r="E27" s="16" t="s">
        <v>24</v>
      </c>
      <c r="F27" s="16" t="s">
        <v>25</v>
      </c>
      <c r="G27" s="16" t="s">
        <v>26</v>
      </c>
      <c r="H27" s="16" t="s">
        <v>27</v>
      </c>
      <c r="I27" s="16" t="s">
        <v>28</v>
      </c>
      <c r="J27" s="182" t="s">
        <v>29</v>
      </c>
    </row>
    <row r="28" spans="1:10" ht="1.5" customHeight="1">
      <c r="A28" s="130"/>
      <c r="B28" s="19" t="s">
        <v>64</v>
      </c>
      <c r="C28" s="6" t="s">
        <v>473</v>
      </c>
      <c r="D28" s="6" t="s">
        <v>474</v>
      </c>
      <c r="E28" s="6" t="s">
        <v>475</v>
      </c>
      <c r="F28" s="6" t="s">
        <v>476</v>
      </c>
      <c r="G28" s="6" t="s">
        <v>477</v>
      </c>
      <c r="H28" s="12" t="s">
        <v>478</v>
      </c>
      <c r="I28" s="12" t="s">
        <v>479</v>
      </c>
      <c r="J28" s="131" t="s">
        <v>480</v>
      </c>
    </row>
    <row r="29" spans="1:10" ht="18" customHeight="1">
      <c r="A29" s="132">
        <v>1872</v>
      </c>
      <c r="B29" s="61">
        <v>0.3557211</v>
      </c>
      <c r="C29" s="22">
        <v>0.3536665</v>
      </c>
      <c r="D29" s="22">
        <v>0.1370595</v>
      </c>
      <c r="E29" s="22">
        <v>0.4211794</v>
      </c>
      <c r="F29" s="22">
        <v>0.294122</v>
      </c>
      <c r="G29" s="22">
        <v>0.3495074</v>
      </c>
      <c r="H29" s="22">
        <v>0.3478707</v>
      </c>
      <c r="I29" s="22">
        <v>0.37233</v>
      </c>
      <c r="J29" s="183">
        <v>0.3046994</v>
      </c>
    </row>
    <row r="30" spans="1:10" ht="18" customHeight="1">
      <c r="A30" s="132">
        <v>1882</v>
      </c>
      <c r="B30" s="61">
        <v>0.3216214</v>
      </c>
      <c r="C30" s="22">
        <v>0.2978249</v>
      </c>
      <c r="D30" s="22">
        <v>0.1569432</v>
      </c>
      <c r="E30" s="22">
        <v>0.2453525</v>
      </c>
      <c r="F30" s="22">
        <v>0.3657381</v>
      </c>
      <c r="G30" s="22">
        <v>0.3223566</v>
      </c>
      <c r="H30" s="22">
        <v>0.3413302</v>
      </c>
      <c r="I30" s="22">
        <v>0.3341814</v>
      </c>
      <c r="J30" s="183">
        <v>0.2789077</v>
      </c>
    </row>
    <row r="31" spans="1:10" ht="18" customHeight="1">
      <c r="A31" s="132">
        <v>1912</v>
      </c>
      <c r="B31" s="61">
        <v>0.3198616</v>
      </c>
      <c r="C31" s="22">
        <v>0.3197851</v>
      </c>
      <c r="D31" s="22">
        <v>0.2817908</v>
      </c>
      <c r="E31" s="22">
        <v>0.2893255</v>
      </c>
      <c r="F31" s="22">
        <v>0.2339507</v>
      </c>
      <c r="G31" s="22">
        <v>0.3722064</v>
      </c>
      <c r="H31" s="22">
        <v>0.3495077</v>
      </c>
      <c r="I31" s="22">
        <v>0.3708763</v>
      </c>
      <c r="J31" s="183">
        <v>0.2730765</v>
      </c>
    </row>
    <row r="32" spans="1:10" ht="18" customHeight="1">
      <c r="A32" s="132">
        <v>1922</v>
      </c>
      <c r="B32" s="61">
        <v>0.2449629</v>
      </c>
      <c r="C32" s="22">
        <v>0.220037</v>
      </c>
      <c r="D32" s="22">
        <v>0.2865407</v>
      </c>
      <c r="E32" s="22">
        <v>0.2188097</v>
      </c>
      <c r="F32" s="22">
        <v>0.1657293</v>
      </c>
      <c r="G32" s="22">
        <v>0.2006131</v>
      </c>
      <c r="H32" s="22">
        <v>0.2169507</v>
      </c>
      <c r="I32" s="22">
        <v>0.2933991</v>
      </c>
      <c r="J32" s="183">
        <v>0.2403811</v>
      </c>
    </row>
    <row r="33" spans="1:10" ht="18" customHeight="1">
      <c r="A33" s="132">
        <v>1927</v>
      </c>
      <c r="B33" s="61">
        <v>0.2134134</v>
      </c>
      <c r="C33" s="22">
        <v>0.1959448</v>
      </c>
      <c r="D33" s="22">
        <v>0.2043321</v>
      </c>
      <c r="E33" s="22">
        <v>0.1570402</v>
      </c>
      <c r="F33" s="22">
        <v>0.1704116</v>
      </c>
      <c r="G33" s="22">
        <v>0.1727138</v>
      </c>
      <c r="H33" s="22">
        <v>0.2479813</v>
      </c>
      <c r="I33" s="22">
        <v>0.2172362</v>
      </c>
      <c r="J33" s="183">
        <v>0.2458254</v>
      </c>
    </row>
    <row r="34" spans="1:10" ht="18" customHeight="1">
      <c r="A34" s="132">
        <v>1932</v>
      </c>
      <c r="B34" s="61">
        <v>0.2513532</v>
      </c>
      <c r="C34" s="22">
        <v>0.2321264</v>
      </c>
      <c r="D34" s="22">
        <v>0.27214</v>
      </c>
      <c r="E34" s="22">
        <v>0.2455198</v>
      </c>
      <c r="F34" s="22">
        <v>0.2078536</v>
      </c>
      <c r="G34" s="22">
        <v>0.2459218</v>
      </c>
      <c r="H34" s="22">
        <v>0.232953</v>
      </c>
      <c r="I34" s="22">
        <v>0.27565</v>
      </c>
      <c r="J34" s="183">
        <v>0.2807772</v>
      </c>
    </row>
    <row r="35" spans="1:10" ht="18" customHeight="1">
      <c r="A35" s="132">
        <v>1937</v>
      </c>
      <c r="B35" s="61">
        <v>0.2288706</v>
      </c>
      <c r="C35" s="22">
        <v>0.2267414</v>
      </c>
      <c r="D35" s="22">
        <v>0.1120029</v>
      </c>
      <c r="E35" s="22">
        <v>0.1745861</v>
      </c>
      <c r="F35" s="22">
        <v>0.0666228</v>
      </c>
      <c r="G35" s="22">
        <v>0.2326849</v>
      </c>
      <c r="H35" s="22">
        <v>0.2472365</v>
      </c>
      <c r="I35" s="22">
        <v>0.2842927</v>
      </c>
      <c r="J35" s="183">
        <v>0.1831385</v>
      </c>
    </row>
    <row r="36" spans="1:10" ht="15">
      <c r="A36" s="204"/>
      <c r="B36" s="17" t="s">
        <v>50</v>
      </c>
      <c r="C36" s="16" t="s">
        <v>41</v>
      </c>
      <c r="D36" s="16" t="s">
        <v>42</v>
      </c>
      <c r="E36" s="16" t="s">
        <v>43</v>
      </c>
      <c r="F36" s="16" t="s">
        <v>44</v>
      </c>
      <c r="G36" s="16" t="s">
        <v>45</v>
      </c>
      <c r="H36" s="16" t="s">
        <v>46</v>
      </c>
      <c r="I36" s="16" t="s">
        <v>47</v>
      </c>
      <c r="J36" s="182" t="s">
        <v>48</v>
      </c>
    </row>
    <row r="37" spans="1:10" ht="1.5" customHeight="1">
      <c r="A37" s="130"/>
      <c r="B37" s="19"/>
      <c r="C37" s="6" t="s">
        <v>477</v>
      </c>
      <c r="D37" s="6" t="s">
        <v>478</v>
      </c>
      <c r="E37" s="6" t="s">
        <v>479</v>
      </c>
      <c r="F37" s="6" t="s">
        <v>480</v>
      </c>
      <c r="G37" s="6" t="s">
        <v>481</v>
      </c>
      <c r="H37" s="12" t="s">
        <v>482</v>
      </c>
      <c r="I37" s="12" t="s">
        <v>483</v>
      </c>
      <c r="J37" s="131" t="s">
        <v>484</v>
      </c>
    </row>
    <row r="38" spans="1:10" ht="18" customHeight="1">
      <c r="A38" s="132">
        <v>1872</v>
      </c>
      <c r="B38" s="21">
        <v>0</v>
      </c>
      <c r="C38" s="22">
        <v>0</v>
      </c>
      <c r="D38" s="22">
        <v>0</v>
      </c>
      <c r="E38" s="22">
        <v>0.0470909</v>
      </c>
      <c r="F38" s="22">
        <v>0.0845058</v>
      </c>
      <c r="G38" s="22">
        <v>0.2519436</v>
      </c>
      <c r="H38" s="22">
        <v>0.3946886</v>
      </c>
      <c r="I38" s="22">
        <v>0.4330198</v>
      </c>
      <c r="J38" s="183">
        <v>0.240021</v>
      </c>
    </row>
    <row r="39" spans="1:10" ht="18" customHeight="1">
      <c r="A39" s="132">
        <v>1882</v>
      </c>
      <c r="B39" s="21">
        <v>0</v>
      </c>
      <c r="C39" s="22">
        <v>0</v>
      </c>
      <c r="D39" s="22">
        <v>0</v>
      </c>
      <c r="E39" s="22">
        <v>0.0023415</v>
      </c>
      <c r="F39" s="22">
        <v>0.0523628</v>
      </c>
      <c r="G39" s="22">
        <v>0.1718898</v>
      </c>
      <c r="H39" s="22">
        <v>0.3531358</v>
      </c>
      <c r="I39" s="22">
        <v>0.3636767</v>
      </c>
      <c r="J39" s="183">
        <v>0.26616</v>
      </c>
    </row>
    <row r="40" spans="1:10" ht="18" customHeight="1">
      <c r="A40" s="132">
        <v>1912</v>
      </c>
      <c r="B40" s="21">
        <v>0</v>
      </c>
      <c r="C40" s="22">
        <v>0</v>
      </c>
      <c r="D40" s="22">
        <v>0</v>
      </c>
      <c r="E40" s="22">
        <v>0.0942714</v>
      </c>
      <c r="F40" s="22">
        <v>0.1677222</v>
      </c>
      <c r="G40" s="22">
        <v>0.2433755</v>
      </c>
      <c r="H40" s="22">
        <v>0.3717103</v>
      </c>
      <c r="I40" s="22">
        <v>0.3803637</v>
      </c>
      <c r="J40" s="183">
        <v>0.1930787</v>
      </c>
    </row>
    <row r="41" spans="1:10" ht="18" customHeight="1">
      <c r="A41" s="132">
        <v>1922</v>
      </c>
      <c r="B41" s="21">
        <v>0</v>
      </c>
      <c r="C41" s="22">
        <v>0</v>
      </c>
      <c r="D41" s="22">
        <v>0.4261151</v>
      </c>
      <c r="E41" s="22">
        <v>0.1276957</v>
      </c>
      <c r="F41" s="22">
        <v>0.1538917</v>
      </c>
      <c r="G41" s="22">
        <v>0.2322096</v>
      </c>
      <c r="H41" s="22">
        <v>0.2410057</v>
      </c>
      <c r="I41" s="22">
        <v>0.2736162</v>
      </c>
      <c r="J41" s="183">
        <v>0.2312456</v>
      </c>
    </row>
    <row r="42" spans="1:10" ht="18" customHeight="1">
      <c r="A42" s="132">
        <v>1927</v>
      </c>
      <c r="B42" s="21">
        <v>0</v>
      </c>
      <c r="C42" s="22">
        <v>0</v>
      </c>
      <c r="D42" s="22">
        <v>0.0508854</v>
      </c>
      <c r="E42" s="22">
        <v>0.1334238</v>
      </c>
      <c r="F42" s="22">
        <v>0.1441444</v>
      </c>
      <c r="G42" s="22">
        <v>0.2036937</v>
      </c>
      <c r="H42" s="22">
        <v>0.2688378</v>
      </c>
      <c r="I42" s="22">
        <v>0.2316206</v>
      </c>
      <c r="J42" s="183">
        <v>0.1292413</v>
      </c>
    </row>
    <row r="43" spans="1:10" ht="18" customHeight="1">
      <c r="A43" s="132">
        <v>1932</v>
      </c>
      <c r="B43" s="21">
        <v>0</v>
      </c>
      <c r="C43" s="22">
        <v>0</v>
      </c>
      <c r="D43" s="22">
        <v>0.1287679</v>
      </c>
      <c r="E43" s="22">
        <v>0.1974064</v>
      </c>
      <c r="F43" s="22">
        <v>0.1723688</v>
      </c>
      <c r="G43" s="22">
        <v>0.2164652</v>
      </c>
      <c r="H43" s="22">
        <v>0.3157654</v>
      </c>
      <c r="I43" s="22">
        <v>0.2824146</v>
      </c>
      <c r="J43" s="183">
        <v>0.1738758</v>
      </c>
    </row>
    <row r="44" spans="1:10" ht="18" customHeight="1" thickBot="1">
      <c r="A44" s="132">
        <v>1937</v>
      </c>
      <c r="B44" s="21">
        <v>0</v>
      </c>
      <c r="C44" s="22">
        <v>0.1382423</v>
      </c>
      <c r="D44" s="22">
        <v>0.1195552</v>
      </c>
      <c r="E44" s="22">
        <v>0.152285</v>
      </c>
      <c r="F44" s="22">
        <v>0.1794353</v>
      </c>
      <c r="G44" s="22">
        <v>0.2332886</v>
      </c>
      <c r="H44" s="22">
        <v>0.3296642</v>
      </c>
      <c r="I44" s="22">
        <v>0.2292957</v>
      </c>
      <c r="J44" s="183">
        <v>0.106323</v>
      </c>
    </row>
    <row r="45" spans="1:10" ht="15.75" thickBot="1" thickTop="1">
      <c r="A45" s="327" t="s">
        <v>485</v>
      </c>
      <c r="B45" s="328"/>
      <c r="C45" s="328"/>
      <c r="D45" s="328"/>
      <c r="E45" s="328"/>
      <c r="F45" s="328"/>
      <c r="G45" s="328"/>
      <c r="H45" s="328"/>
      <c r="I45" s="393"/>
      <c r="J45" s="313"/>
    </row>
    <row r="46" ht="15" thickTop="1"/>
  </sheetData>
  <mergeCells count="7">
    <mergeCell ref="A45:J45"/>
    <mergeCell ref="A3:J3"/>
    <mergeCell ref="B4:J4"/>
    <mergeCell ref="A25:A27"/>
    <mergeCell ref="B25:J26"/>
    <mergeCell ref="A5:A7"/>
    <mergeCell ref="B5:J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3" sqref="A3:U49"/>
    </sheetView>
  </sheetViews>
  <sheetFormatPr defaultColWidth="11.5546875" defaultRowHeight="15"/>
  <cols>
    <col min="1" max="1" width="4.77734375" style="0" customWidth="1"/>
    <col min="2" max="2" width="6.6640625" style="0" customWidth="1"/>
    <col min="3" max="3" width="5.77734375" style="0" customWidth="1"/>
    <col min="4" max="5" width="4.21484375" style="0" customWidth="1"/>
    <col min="6" max="6" width="6.3359375" style="0" customWidth="1"/>
    <col min="7" max="28" width="4.77734375" style="0" customWidth="1"/>
    <col min="29" max="32" width="6.77734375" style="0" customWidth="1"/>
    <col min="33" max="36" width="10.77734375" style="0" customWidth="1"/>
    <col min="37" max="16384" width="8.88671875" style="0" customWidth="1"/>
  </cols>
  <sheetData>
    <row r="1" spans="1:21" ht="15">
      <c r="A1" s="55"/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thickTop="1">
      <c r="A3" s="370" t="s">
        <v>278</v>
      </c>
      <c r="B3" s="427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7"/>
    </row>
    <row r="4" spans="1:22" ht="18" customHeight="1">
      <c r="A4" s="127"/>
      <c r="B4" s="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49"/>
      <c r="V4" s="58"/>
    </row>
    <row r="5" spans="1:28" ht="18" customHeight="1">
      <c r="A5" s="428"/>
      <c r="B5" s="418" t="s">
        <v>85</v>
      </c>
      <c r="C5" s="418" t="s">
        <v>78</v>
      </c>
      <c r="D5" s="412" t="s">
        <v>92</v>
      </c>
      <c r="E5" s="412" t="s">
        <v>93</v>
      </c>
      <c r="F5" s="418" t="s">
        <v>77</v>
      </c>
      <c r="G5" s="409" t="s">
        <v>80</v>
      </c>
      <c r="H5" s="412" t="s">
        <v>67</v>
      </c>
      <c r="I5" s="409" t="s">
        <v>448</v>
      </c>
      <c r="J5" s="412" t="s">
        <v>68</v>
      </c>
      <c r="K5" s="412" t="s">
        <v>83</v>
      </c>
      <c r="L5" s="409" t="s">
        <v>82</v>
      </c>
      <c r="M5" s="412" t="s">
        <v>69</v>
      </c>
      <c r="N5" s="409" t="s">
        <v>90</v>
      </c>
      <c r="O5" s="409" t="s">
        <v>70</v>
      </c>
      <c r="P5" s="409" t="s">
        <v>443</v>
      </c>
      <c r="Q5" s="412" t="s">
        <v>71</v>
      </c>
      <c r="R5" s="412" t="s">
        <v>84</v>
      </c>
      <c r="S5" s="418" t="s">
        <v>79</v>
      </c>
      <c r="T5" s="424" t="s">
        <v>279</v>
      </c>
      <c r="U5" s="415" t="s">
        <v>91</v>
      </c>
      <c r="V5" s="63"/>
      <c r="W5" s="63"/>
      <c r="X5" s="63"/>
      <c r="Y5" s="63"/>
      <c r="Z5" s="63"/>
      <c r="AA5" s="63"/>
      <c r="AB5" s="63"/>
    </row>
    <row r="6" spans="1:28" ht="18" customHeight="1">
      <c r="A6" s="429"/>
      <c r="B6" s="419"/>
      <c r="C6" s="419"/>
      <c r="D6" s="413"/>
      <c r="E6" s="413"/>
      <c r="F6" s="419"/>
      <c r="G6" s="410"/>
      <c r="H6" s="413"/>
      <c r="I6" s="410"/>
      <c r="J6" s="413"/>
      <c r="K6" s="413"/>
      <c r="L6" s="410"/>
      <c r="M6" s="413"/>
      <c r="N6" s="410"/>
      <c r="O6" s="410"/>
      <c r="P6" s="410"/>
      <c r="Q6" s="413"/>
      <c r="R6" s="413"/>
      <c r="S6" s="419"/>
      <c r="T6" s="425"/>
      <c r="U6" s="416"/>
      <c r="V6" s="63"/>
      <c r="W6" s="63"/>
      <c r="X6" s="63"/>
      <c r="Y6" s="63"/>
      <c r="Z6" s="63"/>
      <c r="AA6" s="63"/>
      <c r="AB6" s="63"/>
    </row>
    <row r="7" spans="1:28" ht="18" customHeight="1">
      <c r="A7" s="429"/>
      <c r="B7" s="419"/>
      <c r="C7" s="419"/>
      <c r="D7" s="413"/>
      <c r="E7" s="413"/>
      <c r="F7" s="419"/>
      <c r="G7" s="410"/>
      <c r="H7" s="413"/>
      <c r="I7" s="410"/>
      <c r="J7" s="413"/>
      <c r="K7" s="413"/>
      <c r="L7" s="410"/>
      <c r="M7" s="413"/>
      <c r="N7" s="410"/>
      <c r="O7" s="410"/>
      <c r="P7" s="410"/>
      <c r="Q7" s="413"/>
      <c r="R7" s="413"/>
      <c r="S7" s="419"/>
      <c r="T7" s="425"/>
      <c r="U7" s="416"/>
      <c r="V7" s="63"/>
      <c r="W7" s="63"/>
      <c r="X7" s="63"/>
      <c r="Y7" s="63"/>
      <c r="Z7" s="63"/>
      <c r="AA7" s="63"/>
      <c r="AB7" s="63"/>
    </row>
    <row r="8" spans="1:28" ht="18" customHeight="1">
      <c r="A8" s="429"/>
      <c r="B8" s="420"/>
      <c r="C8" s="420"/>
      <c r="D8" s="414"/>
      <c r="E8" s="414"/>
      <c r="F8" s="420"/>
      <c r="G8" s="411"/>
      <c r="H8" s="414"/>
      <c r="I8" s="411"/>
      <c r="J8" s="414"/>
      <c r="K8" s="414"/>
      <c r="L8" s="411"/>
      <c r="M8" s="414"/>
      <c r="N8" s="411"/>
      <c r="O8" s="411"/>
      <c r="P8" s="411"/>
      <c r="Q8" s="414"/>
      <c r="R8" s="414"/>
      <c r="S8" s="420"/>
      <c r="T8" s="426"/>
      <c r="U8" s="417"/>
      <c r="V8" s="63"/>
      <c r="W8" s="63"/>
      <c r="X8" s="63"/>
      <c r="Y8" s="63"/>
      <c r="Z8" s="63"/>
      <c r="AA8" s="63"/>
      <c r="AB8" s="63"/>
    </row>
    <row r="9" spans="1:28" ht="18" customHeight="1">
      <c r="A9" s="430"/>
      <c r="B9" s="421" t="s">
        <v>72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3"/>
      <c r="V9" s="63"/>
      <c r="W9" s="63"/>
      <c r="X9" s="63"/>
      <c r="Y9" s="63"/>
      <c r="Z9" s="63"/>
      <c r="AA9" s="63"/>
      <c r="AB9" s="63"/>
    </row>
    <row r="10" spans="1:28" ht="18" customHeight="1">
      <c r="A10" s="217"/>
      <c r="B10" s="406" t="s">
        <v>446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8"/>
      <c r="V10" s="63"/>
      <c r="W10" s="63"/>
      <c r="X10" s="63"/>
      <c r="Y10" s="63"/>
      <c r="Z10" s="63"/>
      <c r="AA10" s="63"/>
      <c r="AB10" s="63"/>
    </row>
    <row r="11" spans="1:21" ht="1.5" customHeight="1">
      <c r="A11" s="130"/>
      <c r="B11" s="218" t="s">
        <v>63</v>
      </c>
      <c r="C11" s="65" t="s">
        <v>64</v>
      </c>
      <c r="D11" s="65" t="s">
        <v>486</v>
      </c>
      <c r="E11" s="65" t="s">
        <v>487</v>
      </c>
      <c r="F11" s="65" t="s">
        <v>488</v>
      </c>
      <c r="G11" s="65" t="s">
        <v>73</v>
      </c>
      <c r="H11" s="66" t="s">
        <v>489</v>
      </c>
      <c r="I11" s="66" t="s">
        <v>490</v>
      </c>
      <c r="J11" s="66" t="s">
        <v>491</v>
      </c>
      <c r="K11" s="66" t="s">
        <v>492</v>
      </c>
      <c r="L11" s="66" t="s">
        <v>493</v>
      </c>
      <c r="M11" s="66" t="s">
        <v>494</v>
      </c>
      <c r="N11" s="66" t="s">
        <v>74</v>
      </c>
      <c r="O11" s="66" t="s">
        <v>86</v>
      </c>
      <c r="P11" s="66" t="s">
        <v>75</v>
      </c>
      <c r="Q11" s="66" t="s">
        <v>88</v>
      </c>
      <c r="R11" s="66" t="s">
        <v>89</v>
      </c>
      <c r="S11" s="67" t="s">
        <v>76</v>
      </c>
      <c r="T11" s="66" t="s">
        <v>87</v>
      </c>
      <c r="U11" s="166"/>
    </row>
    <row r="12" spans="1:22" ht="15" customHeight="1">
      <c r="A12" s="132">
        <v>1872</v>
      </c>
      <c r="B12" s="219">
        <v>0.019436</v>
      </c>
      <c r="C12" s="54">
        <v>0.3394495</v>
      </c>
      <c r="D12" s="68">
        <v>0.3279471</v>
      </c>
      <c r="E12" s="68">
        <v>0.0115024</v>
      </c>
      <c r="F12" s="54">
        <v>0.6338589</v>
      </c>
      <c r="G12" s="22">
        <v>0.1737502</v>
      </c>
      <c r="H12" s="68">
        <v>0.0129041</v>
      </c>
      <c r="I12" s="22">
        <v>0.2125713</v>
      </c>
      <c r="J12" s="68">
        <v>0.0187377</v>
      </c>
      <c r="K12" s="68">
        <v>0.1008037</v>
      </c>
      <c r="L12" s="22">
        <v>0.1466944</v>
      </c>
      <c r="M12" s="68">
        <v>0.0390347</v>
      </c>
      <c r="N12" s="22">
        <v>0.0615914</v>
      </c>
      <c r="O12" s="68">
        <v>0.0140648</v>
      </c>
      <c r="P12" s="22">
        <v>0.0392516</v>
      </c>
      <c r="Q12" s="68">
        <v>0.0010914</v>
      </c>
      <c r="R12" s="68">
        <v>0.0322945</v>
      </c>
      <c r="S12" s="54">
        <v>0.0266916</v>
      </c>
      <c r="T12" s="44">
        <v>0.0223726</v>
      </c>
      <c r="U12" s="220">
        <f aca="true" t="shared" si="0" ref="U12:U18">H12+J12+M12</f>
        <v>0.0706765</v>
      </c>
      <c r="V12" s="97"/>
    </row>
    <row r="13" spans="1:22" ht="15" customHeight="1">
      <c r="A13" s="132">
        <v>1882</v>
      </c>
      <c r="B13" s="219">
        <v>0.043755</v>
      </c>
      <c r="C13" s="54">
        <v>0.3459876</v>
      </c>
      <c r="D13" s="68">
        <v>0.34313</v>
      </c>
      <c r="E13" s="68">
        <v>0.0028576</v>
      </c>
      <c r="F13" s="54">
        <v>0.6303893</v>
      </c>
      <c r="G13" s="22">
        <v>0.1761394</v>
      </c>
      <c r="H13" s="68">
        <v>0.0196592</v>
      </c>
      <c r="I13" s="22">
        <v>0.2059454</v>
      </c>
      <c r="J13" s="68">
        <v>0.0247977</v>
      </c>
      <c r="K13" s="68">
        <v>0.0552912</v>
      </c>
      <c r="L13" s="22">
        <v>0.1642982</v>
      </c>
      <c r="M13" s="68">
        <v>0.0338423</v>
      </c>
      <c r="N13" s="22">
        <v>0.0528261</v>
      </c>
      <c r="O13" s="68">
        <v>0.0145689</v>
      </c>
      <c r="P13" s="22">
        <v>0.0311802</v>
      </c>
      <c r="Q13" s="68">
        <v>0.0019475</v>
      </c>
      <c r="R13" s="68">
        <v>0.0201155</v>
      </c>
      <c r="S13" s="54">
        <v>0.0236231</v>
      </c>
      <c r="T13" s="44">
        <v>0.0267921</v>
      </c>
      <c r="U13" s="220">
        <f>H13+J13+M13</f>
        <v>0.0782992</v>
      </c>
      <c r="V13" s="97"/>
    </row>
    <row r="14" spans="1:22" ht="18" customHeight="1">
      <c r="A14" s="132">
        <v>1912</v>
      </c>
      <c r="B14" s="219">
        <v>0.0568132</v>
      </c>
      <c r="C14" s="54">
        <v>0.3570394</v>
      </c>
      <c r="D14" s="68">
        <v>0.2458059</v>
      </c>
      <c r="E14" s="68">
        <v>0.1112335</v>
      </c>
      <c r="F14" s="54">
        <v>0.6152886</v>
      </c>
      <c r="G14" s="22">
        <v>0.2019995</v>
      </c>
      <c r="H14" s="68">
        <v>0.0664669</v>
      </c>
      <c r="I14" s="22">
        <v>0.1850549</v>
      </c>
      <c r="J14" s="68">
        <v>0.0457287</v>
      </c>
      <c r="K14" s="68">
        <v>0.0443454</v>
      </c>
      <c r="L14" s="22">
        <v>0.1421421</v>
      </c>
      <c r="M14" s="68">
        <v>0.088534</v>
      </c>
      <c r="N14" s="22">
        <v>0.0568117</v>
      </c>
      <c r="O14" s="68">
        <v>0.0091542</v>
      </c>
      <c r="P14" s="22">
        <v>0.0292804</v>
      </c>
      <c r="Q14" s="68">
        <v>0.0017168</v>
      </c>
      <c r="R14" s="68">
        <v>0.0121782</v>
      </c>
      <c r="S14" s="54">
        <v>0.027672</v>
      </c>
      <c r="T14" s="44">
        <v>0.0426814</v>
      </c>
      <c r="U14" s="220">
        <f t="shared" si="0"/>
        <v>0.2007296</v>
      </c>
      <c r="V14" s="97"/>
    </row>
    <row r="15" spans="1:22" ht="18" customHeight="1">
      <c r="A15" s="132">
        <v>1922</v>
      </c>
      <c r="B15" s="219">
        <v>0.0918814</v>
      </c>
      <c r="C15" s="54">
        <v>0.2703061</v>
      </c>
      <c r="D15" s="68">
        <v>0.1675674</v>
      </c>
      <c r="E15" s="68">
        <v>0.1027388</v>
      </c>
      <c r="F15" s="54">
        <v>0.68522</v>
      </c>
      <c r="G15" s="22">
        <v>0.2548541</v>
      </c>
      <c r="H15" s="68">
        <v>0.0814953</v>
      </c>
      <c r="I15" s="22">
        <v>0.1292719</v>
      </c>
      <c r="J15" s="68">
        <v>0.0199235</v>
      </c>
      <c r="K15" s="68">
        <v>0.0319048</v>
      </c>
      <c r="L15" s="22">
        <v>0.1902684</v>
      </c>
      <c r="M15" s="68">
        <v>0.0486387</v>
      </c>
      <c r="N15" s="22">
        <v>0.0806152</v>
      </c>
      <c r="O15" s="68">
        <v>0.0189482</v>
      </c>
      <c r="P15" s="22">
        <v>0.0302104</v>
      </c>
      <c r="Q15" s="68">
        <v>0.0016489</v>
      </c>
      <c r="R15" s="68">
        <v>0.0119286</v>
      </c>
      <c r="S15" s="54">
        <v>0.0444739</v>
      </c>
      <c r="T15" s="44">
        <v>0.0402507</v>
      </c>
      <c r="U15" s="220">
        <f t="shared" si="0"/>
        <v>0.1500575</v>
      </c>
      <c r="V15" s="97"/>
    </row>
    <row r="16" spans="1:22" ht="18" customHeight="1">
      <c r="A16" s="132">
        <v>1927</v>
      </c>
      <c r="B16" s="219">
        <v>0.0621977</v>
      </c>
      <c r="C16" s="54">
        <v>0.2361394</v>
      </c>
      <c r="D16" s="68">
        <v>0.1360454</v>
      </c>
      <c r="E16" s="68">
        <v>0.100094</v>
      </c>
      <c r="F16" s="54">
        <v>0.7049402</v>
      </c>
      <c r="G16" s="22">
        <v>0.3679937</v>
      </c>
      <c r="H16" s="68">
        <v>0.1349021</v>
      </c>
      <c r="I16" s="22">
        <v>0.0988631</v>
      </c>
      <c r="J16" s="68">
        <v>0.0234393</v>
      </c>
      <c r="K16" s="68">
        <v>0.0235753</v>
      </c>
      <c r="L16" s="22">
        <v>0.1315026</v>
      </c>
      <c r="M16" s="68">
        <v>0.0456751</v>
      </c>
      <c r="N16" s="22">
        <v>0.0726592</v>
      </c>
      <c r="O16" s="68">
        <v>0.0077726</v>
      </c>
      <c r="P16" s="22">
        <v>0.0339217</v>
      </c>
      <c r="Q16" s="68">
        <v>0.0009991</v>
      </c>
      <c r="R16" s="68">
        <v>0.0148215</v>
      </c>
      <c r="S16" s="54">
        <v>0.0589204</v>
      </c>
      <c r="T16" s="44">
        <v>0.0345428</v>
      </c>
      <c r="U16" s="220">
        <f t="shared" si="0"/>
        <v>0.2040165</v>
      </c>
      <c r="V16" s="97"/>
    </row>
    <row r="17" spans="1:22" ht="18" customHeight="1">
      <c r="A17" s="132">
        <v>1932</v>
      </c>
      <c r="B17" s="219">
        <v>0.0594771</v>
      </c>
      <c r="C17" s="54">
        <v>0.2686025</v>
      </c>
      <c r="D17" s="68">
        <v>0.160664</v>
      </c>
      <c r="E17" s="68">
        <v>0.1079386</v>
      </c>
      <c r="F17" s="54">
        <v>0.6641123</v>
      </c>
      <c r="G17" s="22">
        <v>0.303459</v>
      </c>
      <c r="H17" s="68">
        <v>0.0700008</v>
      </c>
      <c r="I17" s="22">
        <v>0.1068155</v>
      </c>
      <c r="J17" s="68">
        <v>0.01591</v>
      </c>
      <c r="K17" s="68">
        <v>0.0195929</v>
      </c>
      <c r="L17" s="22">
        <v>0.1409644</v>
      </c>
      <c r="M17" s="68">
        <v>0.0271053</v>
      </c>
      <c r="N17" s="22">
        <v>0.087107</v>
      </c>
      <c r="O17" s="68">
        <v>0.0135749</v>
      </c>
      <c r="P17" s="22">
        <v>0.0257664</v>
      </c>
      <c r="Q17" s="68">
        <v>0.0014938</v>
      </c>
      <c r="R17" s="68">
        <v>0.0129538</v>
      </c>
      <c r="S17" s="54">
        <v>0.0672852</v>
      </c>
      <c r="T17" s="44">
        <v>0.0243853</v>
      </c>
      <c r="U17" s="220">
        <f t="shared" si="0"/>
        <v>0.11301610000000001</v>
      </c>
      <c r="V17" s="97"/>
    </row>
    <row r="18" spans="1:22" ht="18" customHeight="1">
      <c r="A18" s="132">
        <v>1937</v>
      </c>
      <c r="B18" s="219">
        <v>0.0723441</v>
      </c>
      <c r="C18" s="54">
        <v>0.2475364</v>
      </c>
      <c r="D18" s="68">
        <v>0.1384238</v>
      </c>
      <c r="E18" s="68">
        <v>0.1091125</v>
      </c>
      <c r="F18" s="54">
        <v>0.6847323</v>
      </c>
      <c r="G18" s="22">
        <v>0.3572196</v>
      </c>
      <c r="H18" s="68">
        <v>0.1733367</v>
      </c>
      <c r="I18" s="22">
        <v>0.1046521</v>
      </c>
      <c r="J18" s="68">
        <v>0.0151932</v>
      </c>
      <c r="K18" s="68">
        <v>0.0184751</v>
      </c>
      <c r="L18" s="22">
        <v>0.1163996</v>
      </c>
      <c r="M18" s="68">
        <v>0.03067</v>
      </c>
      <c r="N18" s="22">
        <v>0.0765866</v>
      </c>
      <c r="O18" s="68">
        <v>0.0111503</v>
      </c>
      <c r="P18" s="22">
        <v>0.0298745</v>
      </c>
      <c r="Q18" s="68">
        <v>0.0035229</v>
      </c>
      <c r="R18" s="68">
        <v>0.0172146</v>
      </c>
      <c r="S18" s="54">
        <v>0.0677314</v>
      </c>
      <c r="T18" s="44">
        <v>0.0278927</v>
      </c>
      <c r="U18" s="220">
        <f t="shared" si="0"/>
        <v>0.2191999</v>
      </c>
      <c r="V18" s="97"/>
    </row>
    <row r="19" spans="1:21" ht="4.5" customHeight="1">
      <c r="A19" s="132"/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161"/>
    </row>
    <row r="20" spans="1:21" ht="15">
      <c r="A20" s="217"/>
      <c r="B20" s="406" t="s">
        <v>280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8"/>
    </row>
    <row r="21" spans="1:21" ht="1.5" customHeight="1">
      <c r="A21" s="130"/>
      <c r="B21" s="218" t="s">
        <v>63</v>
      </c>
      <c r="C21" s="65" t="s">
        <v>64</v>
      </c>
      <c r="D21" s="65" t="s">
        <v>486</v>
      </c>
      <c r="E21" s="65" t="s">
        <v>487</v>
      </c>
      <c r="F21" s="65" t="s">
        <v>488</v>
      </c>
      <c r="G21" s="65" t="s">
        <v>73</v>
      </c>
      <c r="H21" s="66" t="s">
        <v>489</v>
      </c>
      <c r="I21" s="66" t="s">
        <v>490</v>
      </c>
      <c r="J21" s="66" t="s">
        <v>491</v>
      </c>
      <c r="K21" s="66" t="s">
        <v>492</v>
      </c>
      <c r="L21" s="66" t="s">
        <v>493</v>
      </c>
      <c r="M21" s="66" t="s">
        <v>494</v>
      </c>
      <c r="N21" s="66" t="s">
        <v>74</v>
      </c>
      <c r="O21" s="66" t="s">
        <v>86</v>
      </c>
      <c r="P21" s="66" t="s">
        <v>75</v>
      </c>
      <c r="Q21" s="66" t="s">
        <v>88</v>
      </c>
      <c r="R21" s="66" t="s">
        <v>89</v>
      </c>
      <c r="S21" s="67" t="s">
        <v>76</v>
      </c>
      <c r="T21" s="66" t="s">
        <v>87</v>
      </c>
      <c r="U21" s="166"/>
    </row>
    <row r="22" spans="1:21" ht="15">
      <c r="A22" s="132">
        <v>1872</v>
      </c>
      <c r="B22" s="219">
        <v>0.0184077</v>
      </c>
      <c r="C22" s="54">
        <v>0.3598728</v>
      </c>
      <c r="D22" s="68">
        <v>0.3425339</v>
      </c>
      <c r="E22" s="68">
        <v>0.0173388</v>
      </c>
      <c r="F22" s="54">
        <v>0.6202582</v>
      </c>
      <c r="G22" s="22">
        <v>0.1847023</v>
      </c>
      <c r="H22" s="68">
        <v>0.0156707</v>
      </c>
      <c r="I22" s="22">
        <v>0.1761052</v>
      </c>
      <c r="J22" s="68">
        <v>0.0222378</v>
      </c>
      <c r="K22" s="68">
        <v>0.0763288</v>
      </c>
      <c r="L22" s="22">
        <v>0.1431964</v>
      </c>
      <c r="M22" s="68">
        <v>0.0479024</v>
      </c>
      <c r="N22" s="22">
        <v>0.0678764</v>
      </c>
      <c r="O22" s="68">
        <v>0.0080307</v>
      </c>
      <c r="P22" s="22">
        <v>0.0483779</v>
      </c>
      <c r="Q22" s="68">
        <v>0.0001538</v>
      </c>
      <c r="R22" s="68">
        <v>0.0422489</v>
      </c>
      <c r="S22" s="54">
        <v>0.0198691</v>
      </c>
      <c r="T22" s="44">
        <v>0.0193726</v>
      </c>
      <c r="U22" s="220">
        <f aca="true" t="shared" si="1" ref="U22:U28">H22+J22+M22</f>
        <v>0.0858109</v>
      </c>
    </row>
    <row r="23" spans="1:21" ht="15">
      <c r="A23" s="132">
        <v>1882</v>
      </c>
      <c r="B23" s="219">
        <v>0.039975</v>
      </c>
      <c r="C23" s="54">
        <v>0.3466531</v>
      </c>
      <c r="D23" s="68">
        <v>0.3452239</v>
      </c>
      <c r="E23" s="68">
        <v>0.0014292</v>
      </c>
      <c r="F23" s="54">
        <v>0.6380821</v>
      </c>
      <c r="G23" s="22">
        <v>0.1890411</v>
      </c>
      <c r="H23" s="68">
        <v>0.0239126</v>
      </c>
      <c r="I23" s="22">
        <v>0.1890344</v>
      </c>
      <c r="J23" s="68">
        <v>0.0275276</v>
      </c>
      <c r="K23" s="68">
        <v>0.0453326</v>
      </c>
      <c r="L23" s="22">
        <v>0.177962</v>
      </c>
      <c r="M23" s="68">
        <v>0.0437705</v>
      </c>
      <c r="N23" s="22">
        <v>0.0567468</v>
      </c>
      <c r="O23" s="68">
        <v>0.0111763</v>
      </c>
      <c r="P23" s="22">
        <v>0.0252979</v>
      </c>
      <c r="Q23" s="68">
        <v>0.0004781</v>
      </c>
      <c r="R23" s="68">
        <v>0.0201006</v>
      </c>
      <c r="S23" s="54">
        <v>0.0152649</v>
      </c>
      <c r="T23" s="44">
        <v>0.027711</v>
      </c>
      <c r="U23" s="220">
        <f>H23+J23+M23</f>
        <v>0.0952107</v>
      </c>
    </row>
    <row r="24" spans="1:21" ht="15">
      <c r="A24" s="132">
        <v>1912</v>
      </c>
      <c r="B24" s="219">
        <v>0.0363551</v>
      </c>
      <c r="C24" s="54">
        <v>0.3247803</v>
      </c>
      <c r="D24" s="68">
        <v>0.2211604</v>
      </c>
      <c r="E24" s="68">
        <v>0.10362</v>
      </c>
      <c r="F24" s="54">
        <v>0.6538293</v>
      </c>
      <c r="G24" s="22">
        <v>0.2430957</v>
      </c>
      <c r="H24" s="68">
        <v>0.0934746</v>
      </c>
      <c r="I24" s="22">
        <v>0.1908742</v>
      </c>
      <c r="J24" s="68">
        <v>0.0519179</v>
      </c>
      <c r="K24" s="68">
        <v>0.0454717</v>
      </c>
      <c r="L24" s="22">
        <v>0.1376101</v>
      </c>
      <c r="M24" s="68">
        <v>0.0956097</v>
      </c>
      <c r="N24" s="22">
        <v>0.0591998</v>
      </c>
      <c r="O24" s="68">
        <v>0.0082369</v>
      </c>
      <c r="P24" s="22">
        <v>0.0230496</v>
      </c>
      <c r="Q24" s="68">
        <v>0.0012407</v>
      </c>
      <c r="R24" s="68">
        <v>0.0074795</v>
      </c>
      <c r="S24" s="54">
        <v>0.0213904</v>
      </c>
      <c r="T24" s="44">
        <v>0.0503496</v>
      </c>
      <c r="U24" s="220">
        <f t="shared" si="1"/>
        <v>0.2410022</v>
      </c>
    </row>
    <row r="25" spans="1:21" ht="15">
      <c r="A25" s="132">
        <v>1922</v>
      </c>
      <c r="B25" s="219">
        <v>0.0693773</v>
      </c>
      <c r="C25" s="54">
        <v>0.2693156</v>
      </c>
      <c r="D25" s="68">
        <v>0.1675085</v>
      </c>
      <c r="E25" s="68">
        <v>0.1018071</v>
      </c>
      <c r="F25" s="54">
        <v>0.691366</v>
      </c>
      <c r="G25" s="22">
        <v>0.3039746</v>
      </c>
      <c r="H25" s="68">
        <v>0.1161534</v>
      </c>
      <c r="I25" s="22">
        <v>0.1065376</v>
      </c>
      <c r="J25" s="68">
        <v>0.0210568</v>
      </c>
      <c r="K25" s="68">
        <v>0.0236626</v>
      </c>
      <c r="L25" s="22">
        <v>0.1702685</v>
      </c>
      <c r="M25" s="68">
        <v>0.06126</v>
      </c>
      <c r="N25" s="22">
        <v>0.0905761</v>
      </c>
      <c r="O25" s="68">
        <v>0.0252626</v>
      </c>
      <c r="P25" s="22">
        <v>0.0200092</v>
      </c>
      <c r="Q25" s="68">
        <v>0.0005272</v>
      </c>
      <c r="R25" s="68">
        <v>0.0098372</v>
      </c>
      <c r="S25" s="54">
        <v>0.0393185</v>
      </c>
      <c r="T25" s="44">
        <v>0.0422211</v>
      </c>
      <c r="U25" s="220">
        <f t="shared" si="1"/>
        <v>0.1984702</v>
      </c>
    </row>
    <row r="26" spans="1:21" ht="15">
      <c r="A26" s="132">
        <v>1927</v>
      </c>
      <c r="B26" s="219">
        <v>0.0514925</v>
      </c>
      <c r="C26" s="54">
        <v>0.2030959</v>
      </c>
      <c r="D26" s="68">
        <v>0.1199633</v>
      </c>
      <c r="E26" s="68">
        <v>0.0831326</v>
      </c>
      <c r="F26" s="54">
        <v>0.7567831</v>
      </c>
      <c r="G26" s="22">
        <v>0.4477019</v>
      </c>
      <c r="H26" s="68">
        <v>0.1854855</v>
      </c>
      <c r="I26" s="22">
        <v>0.0951404</v>
      </c>
      <c r="J26" s="68">
        <v>0.02783</v>
      </c>
      <c r="K26" s="68">
        <v>0.0210431</v>
      </c>
      <c r="L26" s="22">
        <v>0.116392</v>
      </c>
      <c r="M26" s="68">
        <v>0.0547435</v>
      </c>
      <c r="N26" s="22">
        <v>0.0682115</v>
      </c>
      <c r="O26" s="68">
        <v>0.0042968</v>
      </c>
      <c r="P26" s="22">
        <v>0.0293373</v>
      </c>
      <c r="Q26" s="68">
        <v>0.0002186</v>
      </c>
      <c r="R26" s="68">
        <v>0.0137138</v>
      </c>
      <c r="S26" s="54">
        <v>0.0401209</v>
      </c>
      <c r="T26" s="44">
        <v>0.0373992</v>
      </c>
      <c r="U26" s="220">
        <f t="shared" si="1"/>
        <v>0.268059</v>
      </c>
    </row>
    <row r="27" spans="1:21" ht="15">
      <c r="A27" s="132">
        <v>1932</v>
      </c>
      <c r="B27" s="219">
        <v>0.0404798</v>
      </c>
      <c r="C27" s="54">
        <v>0.245857</v>
      </c>
      <c r="D27" s="68">
        <v>0.1520934</v>
      </c>
      <c r="E27" s="68">
        <v>0.0937636</v>
      </c>
      <c r="F27" s="54">
        <v>0.6974052</v>
      </c>
      <c r="G27" s="22">
        <v>0.3690516</v>
      </c>
      <c r="H27" s="68">
        <v>0.0917105</v>
      </c>
      <c r="I27" s="22">
        <v>0.0977914</v>
      </c>
      <c r="J27" s="68">
        <v>0.0193593</v>
      </c>
      <c r="K27" s="68">
        <v>0.0120207</v>
      </c>
      <c r="L27" s="22">
        <v>0.1351219</v>
      </c>
      <c r="M27" s="68">
        <v>0.0343439</v>
      </c>
      <c r="N27" s="22">
        <v>0.0825356</v>
      </c>
      <c r="O27" s="68">
        <v>0.0123613</v>
      </c>
      <c r="P27" s="22">
        <v>0.0129046</v>
      </c>
      <c r="Q27" s="68">
        <v>0.0001462</v>
      </c>
      <c r="R27" s="68">
        <v>0.0083865</v>
      </c>
      <c r="S27" s="54">
        <v>0.0567378</v>
      </c>
      <c r="T27" s="44">
        <v>0.0251785</v>
      </c>
      <c r="U27" s="220">
        <f t="shared" si="1"/>
        <v>0.14541369999999998</v>
      </c>
    </row>
    <row r="28" spans="1:21" ht="15">
      <c r="A28" s="132">
        <v>1937</v>
      </c>
      <c r="B28" s="219">
        <v>0.0584725</v>
      </c>
      <c r="C28" s="54">
        <v>0.1917347</v>
      </c>
      <c r="D28" s="68">
        <v>0.1093866</v>
      </c>
      <c r="E28" s="68">
        <v>0.0823481</v>
      </c>
      <c r="F28" s="54">
        <v>0.7710065</v>
      </c>
      <c r="G28" s="22">
        <v>0.4855099</v>
      </c>
      <c r="H28" s="68">
        <v>0.2652245</v>
      </c>
      <c r="I28" s="22">
        <v>0.0969215</v>
      </c>
      <c r="J28" s="68">
        <v>0.0186781</v>
      </c>
      <c r="K28" s="68">
        <v>0.0129518</v>
      </c>
      <c r="L28" s="22">
        <v>0.1034737</v>
      </c>
      <c r="M28" s="68">
        <v>0.0398119</v>
      </c>
      <c r="N28" s="22">
        <v>0.0669312</v>
      </c>
      <c r="O28" s="68">
        <v>0.0060365</v>
      </c>
      <c r="P28" s="22">
        <v>0.0181701</v>
      </c>
      <c r="Q28" s="68">
        <v>0.0002389</v>
      </c>
      <c r="R28" s="68">
        <v>0.0129006</v>
      </c>
      <c r="S28" s="54">
        <v>0.0372588</v>
      </c>
      <c r="T28" s="44">
        <v>0.0322895</v>
      </c>
      <c r="U28" s="220">
        <f t="shared" si="1"/>
        <v>0.32371449999999996</v>
      </c>
    </row>
    <row r="29" spans="1:21" ht="15">
      <c r="A29" s="217"/>
      <c r="B29" s="406" t="s">
        <v>281</v>
      </c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8"/>
    </row>
    <row r="30" spans="1:21" ht="1.5" customHeight="1">
      <c r="A30" s="130"/>
      <c r="B30" s="218" t="s">
        <v>63</v>
      </c>
      <c r="C30" s="65" t="s">
        <v>64</v>
      </c>
      <c r="D30" s="65" t="s">
        <v>486</v>
      </c>
      <c r="E30" s="65" t="s">
        <v>487</v>
      </c>
      <c r="F30" s="65" t="s">
        <v>488</v>
      </c>
      <c r="G30" s="65" t="s">
        <v>73</v>
      </c>
      <c r="H30" s="66" t="s">
        <v>489</v>
      </c>
      <c r="I30" s="66" t="s">
        <v>490</v>
      </c>
      <c r="J30" s="66" t="s">
        <v>491</v>
      </c>
      <c r="K30" s="66" t="s">
        <v>492</v>
      </c>
      <c r="L30" s="66" t="s">
        <v>493</v>
      </c>
      <c r="M30" s="66" t="s">
        <v>494</v>
      </c>
      <c r="N30" s="66" t="s">
        <v>74</v>
      </c>
      <c r="O30" s="66" t="s">
        <v>86</v>
      </c>
      <c r="P30" s="66" t="s">
        <v>75</v>
      </c>
      <c r="Q30" s="66" t="s">
        <v>88</v>
      </c>
      <c r="R30" s="66" t="s">
        <v>89</v>
      </c>
      <c r="S30" s="67" t="s">
        <v>76</v>
      </c>
      <c r="T30" s="66" t="s">
        <v>87</v>
      </c>
      <c r="U30" s="166"/>
    </row>
    <row r="31" spans="1:21" ht="15">
      <c r="A31" s="132">
        <v>1872</v>
      </c>
      <c r="B31" s="219">
        <v>0.0214063</v>
      </c>
      <c r="C31" s="54">
        <v>0.3334794</v>
      </c>
      <c r="D31" s="68">
        <v>0.3291704</v>
      </c>
      <c r="E31" s="68">
        <v>0.004309</v>
      </c>
      <c r="F31" s="54">
        <v>0.6395521</v>
      </c>
      <c r="G31" s="22">
        <v>0.16043</v>
      </c>
      <c r="H31" s="68">
        <v>0.0096541</v>
      </c>
      <c r="I31" s="22">
        <v>0.25308</v>
      </c>
      <c r="J31" s="68">
        <v>0.0145755</v>
      </c>
      <c r="K31" s="68">
        <v>0.1264569</v>
      </c>
      <c r="L31" s="22">
        <v>0.1467674</v>
      </c>
      <c r="M31" s="68">
        <v>0.0283022</v>
      </c>
      <c r="N31" s="22">
        <v>0.0527402</v>
      </c>
      <c r="O31" s="68">
        <v>0.0192695</v>
      </c>
      <c r="P31" s="22">
        <v>0.0265345</v>
      </c>
      <c r="Q31" s="68">
        <v>0.0019506</v>
      </c>
      <c r="R31" s="68">
        <v>0.0184698</v>
      </c>
      <c r="S31" s="54">
        <v>0.0269685</v>
      </c>
      <c r="T31" s="44">
        <v>0.0276647</v>
      </c>
      <c r="U31" s="220">
        <f aca="true" t="shared" si="2" ref="U31:U37">H31+J31+M31</f>
        <v>0.052531800000000003</v>
      </c>
    </row>
    <row r="32" spans="1:21" ht="15">
      <c r="A32" s="132">
        <v>1882</v>
      </c>
      <c r="B32" s="219">
        <v>0.0473603</v>
      </c>
      <c r="C32" s="54">
        <v>0.3611708</v>
      </c>
      <c r="D32" s="68">
        <v>0.3562224</v>
      </c>
      <c r="E32" s="68">
        <v>0.0049484</v>
      </c>
      <c r="F32" s="54">
        <v>0.6102779</v>
      </c>
      <c r="G32" s="22">
        <v>0.1564071</v>
      </c>
      <c r="H32" s="68">
        <v>0.0146784</v>
      </c>
      <c r="I32" s="22">
        <v>0.2271241</v>
      </c>
      <c r="J32" s="68">
        <v>0.0219374</v>
      </c>
      <c r="K32" s="68">
        <v>0.0657703</v>
      </c>
      <c r="L32" s="22">
        <v>0.1435828</v>
      </c>
      <c r="M32" s="68">
        <v>0.021123</v>
      </c>
      <c r="N32" s="22">
        <v>0.0459515</v>
      </c>
      <c r="O32" s="68">
        <v>0.0173315</v>
      </c>
      <c r="P32" s="22">
        <v>0.0372124</v>
      </c>
      <c r="Q32" s="68">
        <v>0.003698</v>
      </c>
      <c r="R32" s="68">
        <v>0.0190976</v>
      </c>
      <c r="S32" s="54">
        <v>0.0285513</v>
      </c>
      <c r="T32" s="44">
        <v>0.0266702</v>
      </c>
      <c r="U32" s="220">
        <f>H32+J32+M32</f>
        <v>0.05773879999999999</v>
      </c>
    </row>
    <row r="33" spans="1:21" ht="15">
      <c r="A33" s="132">
        <v>1912</v>
      </c>
      <c r="B33" s="219">
        <v>0.0880079</v>
      </c>
      <c r="C33" s="54">
        <v>0.412484</v>
      </c>
      <c r="D33" s="68">
        <v>0.2962541</v>
      </c>
      <c r="E33" s="68">
        <v>0.1162298</v>
      </c>
      <c r="F33" s="54">
        <v>0.5538484</v>
      </c>
      <c r="G33" s="22">
        <v>0.1389242</v>
      </c>
      <c r="H33" s="68">
        <v>0.0254774</v>
      </c>
      <c r="I33" s="22">
        <v>0.1778154</v>
      </c>
      <c r="J33" s="68">
        <v>0.0370492</v>
      </c>
      <c r="K33" s="68">
        <v>0.0426731</v>
      </c>
      <c r="L33" s="22">
        <v>0.1497871</v>
      </c>
      <c r="M33" s="68">
        <v>0.0799601</v>
      </c>
      <c r="N33" s="22">
        <v>0.0505419</v>
      </c>
      <c r="O33" s="68">
        <v>0.0099657</v>
      </c>
      <c r="P33" s="22">
        <v>0.0367799</v>
      </c>
      <c r="Q33" s="68">
        <v>0.0015734</v>
      </c>
      <c r="R33" s="68">
        <v>0.0180683</v>
      </c>
      <c r="S33" s="54">
        <v>0.0336676</v>
      </c>
      <c r="T33" s="44">
        <v>0.0321997</v>
      </c>
      <c r="U33" s="220">
        <f t="shared" si="2"/>
        <v>0.14248670000000002</v>
      </c>
    </row>
    <row r="34" spans="1:21" ht="15">
      <c r="A34" s="132">
        <v>1922</v>
      </c>
      <c r="B34" s="219">
        <v>0.1150716</v>
      </c>
      <c r="C34" s="54">
        <v>0.27857</v>
      </c>
      <c r="D34" s="68">
        <v>0.1784324</v>
      </c>
      <c r="E34" s="68">
        <v>0.1001377</v>
      </c>
      <c r="F34" s="54">
        <v>0.677159</v>
      </c>
      <c r="G34" s="22">
        <v>0.1994607</v>
      </c>
      <c r="H34" s="68">
        <v>0.0431656</v>
      </c>
      <c r="I34" s="22">
        <v>0.1597975</v>
      </c>
      <c r="J34" s="68">
        <v>0.0191293</v>
      </c>
      <c r="K34" s="68">
        <v>0.0417925</v>
      </c>
      <c r="L34" s="22">
        <v>0.211437</v>
      </c>
      <c r="M34" s="68">
        <v>0.0347921</v>
      </c>
      <c r="N34" s="22">
        <v>0.0663874</v>
      </c>
      <c r="O34" s="68">
        <v>0.0099742</v>
      </c>
      <c r="P34" s="22">
        <v>0.0400764</v>
      </c>
      <c r="Q34" s="68">
        <v>0.0025754</v>
      </c>
      <c r="R34" s="68">
        <v>0.0131972</v>
      </c>
      <c r="S34" s="54">
        <v>0.044271</v>
      </c>
      <c r="T34" s="44">
        <v>0.0409987</v>
      </c>
      <c r="U34" s="220">
        <f t="shared" si="2"/>
        <v>0.097087</v>
      </c>
    </row>
    <row r="35" spans="1:21" ht="15">
      <c r="A35" s="132">
        <v>1927</v>
      </c>
      <c r="B35" s="219">
        <v>0.0780977</v>
      </c>
      <c r="C35" s="54">
        <v>0.2877104</v>
      </c>
      <c r="D35" s="68">
        <v>0.1736052</v>
      </c>
      <c r="E35" s="68">
        <v>0.1141052</v>
      </c>
      <c r="F35" s="54">
        <v>0.640328</v>
      </c>
      <c r="G35" s="22">
        <v>0.2673393</v>
      </c>
      <c r="H35" s="68">
        <v>0.0680544</v>
      </c>
      <c r="I35" s="22">
        <v>0.1084746</v>
      </c>
      <c r="J35" s="68">
        <v>0.0182907</v>
      </c>
      <c r="K35" s="68">
        <v>0.0281123</v>
      </c>
      <c r="L35" s="22">
        <v>0.1511313</v>
      </c>
      <c r="M35" s="68">
        <v>0.034503</v>
      </c>
      <c r="N35" s="22">
        <v>0.0755536</v>
      </c>
      <c r="O35" s="68">
        <v>0.0119601</v>
      </c>
      <c r="P35" s="22">
        <v>0.0378291</v>
      </c>
      <c r="Q35" s="68">
        <v>0.0011977</v>
      </c>
      <c r="R35" s="68">
        <v>0.0145938</v>
      </c>
      <c r="S35" s="54">
        <v>0.0719617</v>
      </c>
      <c r="T35" s="44">
        <v>0.0335327</v>
      </c>
      <c r="U35" s="220">
        <f t="shared" si="2"/>
        <v>0.12084810000000001</v>
      </c>
    </row>
    <row r="36" spans="1:21" ht="15">
      <c r="A36" s="132">
        <v>1932</v>
      </c>
      <c r="B36" s="219">
        <v>0.0771564</v>
      </c>
      <c r="C36" s="54">
        <v>0.3170069</v>
      </c>
      <c r="D36" s="68">
        <v>0.1959065</v>
      </c>
      <c r="E36" s="68">
        <v>0.1211004</v>
      </c>
      <c r="F36" s="54">
        <v>0.6206369</v>
      </c>
      <c r="G36" s="22">
        <v>0.2234232</v>
      </c>
      <c r="H36" s="68">
        <v>0.0471967</v>
      </c>
      <c r="I36" s="22">
        <v>0.1242321</v>
      </c>
      <c r="J36" s="68">
        <v>0.012476</v>
      </c>
      <c r="K36" s="68">
        <v>0.0305054</v>
      </c>
      <c r="L36" s="22">
        <v>0.1491988</v>
      </c>
      <c r="M36" s="68">
        <v>0.0191266</v>
      </c>
      <c r="N36" s="22">
        <v>0.0846533</v>
      </c>
      <c r="O36" s="68">
        <v>0.014236</v>
      </c>
      <c r="P36" s="22">
        <v>0.0391294</v>
      </c>
      <c r="Q36" s="68">
        <v>0.0015422</v>
      </c>
      <c r="R36" s="68">
        <v>0.0168829</v>
      </c>
      <c r="S36" s="54">
        <v>0.0623562</v>
      </c>
      <c r="T36" s="44">
        <v>0.0272417</v>
      </c>
      <c r="U36" s="220">
        <f t="shared" si="2"/>
        <v>0.0787993</v>
      </c>
    </row>
    <row r="37" spans="1:21" ht="15">
      <c r="A37" s="132">
        <v>1937</v>
      </c>
      <c r="B37" s="219">
        <v>0.087073</v>
      </c>
      <c r="C37" s="54">
        <v>0.3304429</v>
      </c>
      <c r="D37" s="68">
        <v>0.1936923</v>
      </c>
      <c r="E37" s="68">
        <v>0.1367507</v>
      </c>
      <c r="F37" s="54">
        <v>0.6008403</v>
      </c>
      <c r="G37" s="22">
        <v>0.2460365</v>
      </c>
      <c r="H37" s="68">
        <v>0.0923255</v>
      </c>
      <c r="I37" s="22">
        <v>0.1157099</v>
      </c>
      <c r="J37" s="68">
        <v>0.0126587</v>
      </c>
      <c r="K37" s="68">
        <v>0.024834</v>
      </c>
      <c r="L37" s="22">
        <v>0.1278762</v>
      </c>
      <c r="M37" s="68">
        <v>0.0228851</v>
      </c>
      <c r="N37" s="22">
        <v>0.0765226</v>
      </c>
      <c r="O37" s="68">
        <v>0.014932</v>
      </c>
      <c r="P37" s="22">
        <v>0.034695</v>
      </c>
      <c r="Q37" s="68">
        <v>0.0030057</v>
      </c>
      <c r="R37" s="68">
        <v>0.0180281</v>
      </c>
      <c r="S37" s="54">
        <v>0.0687167</v>
      </c>
      <c r="T37" s="44">
        <v>0.0277806</v>
      </c>
      <c r="U37" s="220">
        <f t="shared" si="2"/>
        <v>0.1278693</v>
      </c>
    </row>
    <row r="38" spans="1:21" ht="15">
      <c r="A38" s="217"/>
      <c r="B38" s="406" t="s">
        <v>282</v>
      </c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8"/>
    </row>
    <row r="39" spans="1:21" ht="1.5" customHeight="1">
      <c r="A39" s="130"/>
      <c r="B39" s="218" t="s">
        <v>63</v>
      </c>
      <c r="C39" s="65" t="s">
        <v>64</v>
      </c>
      <c r="D39" s="65" t="s">
        <v>486</v>
      </c>
      <c r="E39" s="65" t="s">
        <v>487</v>
      </c>
      <c r="F39" s="65" t="s">
        <v>488</v>
      </c>
      <c r="G39" s="65" t="s">
        <v>73</v>
      </c>
      <c r="H39" s="66" t="s">
        <v>489</v>
      </c>
      <c r="I39" s="66" t="s">
        <v>490</v>
      </c>
      <c r="J39" s="66" t="s">
        <v>491</v>
      </c>
      <c r="K39" s="66" t="s">
        <v>492</v>
      </c>
      <c r="L39" s="66" t="s">
        <v>493</v>
      </c>
      <c r="M39" s="66" t="s">
        <v>494</v>
      </c>
      <c r="N39" s="66" t="s">
        <v>74</v>
      </c>
      <c r="O39" s="66" t="s">
        <v>86</v>
      </c>
      <c r="P39" s="66" t="s">
        <v>75</v>
      </c>
      <c r="Q39" s="66" t="s">
        <v>88</v>
      </c>
      <c r="R39" s="66" t="s">
        <v>89</v>
      </c>
      <c r="S39" s="67" t="s">
        <v>76</v>
      </c>
      <c r="T39" s="66" t="s">
        <v>87</v>
      </c>
      <c r="U39" s="166"/>
    </row>
    <row r="40" spans="1:21" ht="15">
      <c r="A40" s="132">
        <v>1872</v>
      </c>
      <c r="B40" s="219">
        <v>0.0119566</v>
      </c>
      <c r="C40" s="54">
        <v>0.078341</v>
      </c>
      <c r="D40" s="68">
        <v>0.0736759</v>
      </c>
      <c r="E40" s="68">
        <v>0.0046651</v>
      </c>
      <c r="F40" s="54">
        <v>0.7865275</v>
      </c>
      <c r="G40" s="22">
        <v>0.1587198</v>
      </c>
      <c r="H40" s="68">
        <v>0.0076905</v>
      </c>
      <c r="I40" s="22">
        <v>0.3100759</v>
      </c>
      <c r="J40" s="68">
        <v>0.0127652</v>
      </c>
      <c r="K40" s="68">
        <v>0.1852072</v>
      </c>
      <c r="L40" s="22">
        <v>0.203146</v>
      </c>
      <c r="M40" s="68">
        <v>0.0262138</v>
      </c>
      <c r="N40" s="22">
        <v>0.0678782</v>
      </c>
      <c r="O40" s="68">
        <v>0.0487086</v>
      </c>
      <c r="P40" s="22">
        <v>0.0467076</v>
      </c>
      <c r="Q40" s="68">
        <v>0.0058512</v>
      </c>
      <c r="R40" s="68">
        <v>0.0398535</v>
      </c>
      <c r="S40" s="54">
        <v>0.1351315</v>
      </c>
      <c r="T40" s="44">
        <v>0.0061884</v>
      </c>
      <c r="U40" s="220">
        <f aca="true" t="shared" si="3" ref="U40:U46">H40+J40+M40</f>
        <v>0.0466695</v>
      </c>
    </row>
    <row r="41" spans="1:21" ht="15">
      <c r="A41" s="132">
        <v>1882</v>
      </c>
      <c r="B41" s="219">
        <v>0.0702474</v>
      </c>
      <c r="C41" s="54">
        <v>0.0947301</v>
      </c>
      <c r="D41" s="68">
        <v>0.0932164</v>
      </c>
      <c r="E41" s="68">
        <v>0.0015137</v>
      </c>
      <c r="F41" s="54">
        <v>0.7756214</v>
      </c>
      <c r="G41" s="22">
        <v>0.2015041</v>
      </c>
      <c r="H41" s="68">
        <v>0.0042574</v>
      </c>
      <c r="I41" s="22">
        <v>0.2457455</v>
      </c>
      <c r="J41" s="68">
        <v>0.0096664</v>
      </c>
      <c r="K41" s="68">
        <v>0.1097935</v>
      </c>
      <c r="L41" s="22">
        <v>0.1883188</v>
      </c>
      <c r="M41" s="68">
        <v>0.0149305</v>
      </c>
      <c r="N41" s="22">
        <v>0.0742234</v>
      </c>
      <c r="O41" s="68">
        <v>0.0457228</v>
      </c>
      <c r="P41" s="22">
        <v>0.0658296</v>
      </c>
      <c r="Q41" s="68">
        <v>0.0068034</v>
      </c>
      <c r="R41" s="68">
        <v>0.0363119</v>
      </c>
      <c r="S41" s="54">
        <v>0.1296485</v>
      </c>
      <c r="T41" s="44">
        <v>0.0085877</v>
      </c>
      <c r="U41" s="220">
        <f>H41+J41+M41</f>
        <v>0.0288543</v>
      </c>
    </row>
    <row r="42" spans="1:21" ht="15">
      <c r="A42" s="132">
        <v>1912</v>
      </c>
      <c r="B42" s="219">
        <v>0.0987827</v>
      </c>
      <c r="C42" s="54">
        <v>0.3131449</v>
      </c>
      <c r="D42" s="68">
        <v>0.0699271</v>
      </c>
      <c r="E42" s="68">
        <v>0.2432178</v>
      </c>
      <c r="F42" s="54">
        <v>0.5832533</v>
      </c>
      <c r="G42" s="22">
        <v>0.1249325</v>
      </c>
      <c r="H42" s="68">
        <v>0.0076793</v>
      </c>
      <c r="I42" s="22">
        <v>0.1443677</v>
      </c>
      <c r="J42" s="68">
        <v>0.0196955</v>
      </c>
      <c r="K42" s="68">
        <v>0.04124</v>
      </c>
      <c r="L42" s="22">
        <v>0.1385132</v>
      </c>
      <c r="M42" s="68">
        <v>0.0350369</v>
      </c>
      <c r="N42" s="22">
        <v>0.0981615</v>
      </c>
      <c r="O42" s="68">
        <v>0.0213698</v>
      </c>
      <c r="P42" s="22">
        <v>0.0772785</v>
      </c>
      <c r="Q42" s="68">
        <v>0.0179905</v>
      </c>
      <c r="R42" s="68">
        <v>0.0442429</v>
      </c>
      <c r="S42" s="54">
        <v>0.1036018</v>
      </c>
      <c r="T42" s="44">
        <v>0.0056442</v>
      </c>
      <c r="U42" s="220">
        <f t="shared" si="3"/>
        <v>0.0624117</v>
      </c>
    </row>
    <row r="43" spans="1:21" ht="15">
      <c r="A43" s="132">
        <v>1922</v>
      </c>
      <c r="B43" s="219">
        <v>0.15221</v>
      </c>
      <c r="C43" s="54">
        <v>0.1994738</v>
      </c>
      <c r="D43" s="68">
        <v>0.0581064</v>
      </c>
      <c r="E43" s="68">
        <v>0.1413673</v>
      </c>
      <c r="F43" s="54">
        <v>0.6862731</v>
      </c>
      <c r="G43" s="22">
        <v>0.1716208</v>
      </c>
      <c r="H43" s="68">
        <v>0.0151147</v>
      </c>
      <c r="I43" s="22">
        <v>0.1182025</v>
      </c>
      <c r="J43" s="68">
        <v>0.0130945</v>
      </c>
      <c r="K43" s="68">
        <v>0.0398554</v>
      </c>
      <c r="L43" s="22">
        <v>0.2382136</v>
      </c>
      <c r="M43" s="68">
        <v>0.0233303</v>
      </c>
      <c r="N43" s="22">
        <v>0.0941215</v>
      </c>
      <c r="O43" s="68">
        <v>0.0270526</v>
      </c>
      <c r="P43" s="22">
        <v>0.0641147</v>
      </c>
      <c r="Q43" s="68">
        <v>0.006984</v>
      </c>
      <c r="R43" s="68">
        <v>0.0265291</v>
      </c>
      <c r="S43" s="54">
        <v>0.1142532</v>
      </c>
      <c r="T43" s="44">
        <v>0.0067797</v>
      </c>
      <c r="U43" s="220">
        <f t="shared" si="3"/>
        <v>0.0515395</v>
      </c>
    </row>
    <row r="44" spans="1:21" ht="15">
      <c r="A44" s="132">
        <v>1927</v>
      </c>
      <c r="B44" s="219">
        <v>0.0725939</v>
      </c>
      <c r="C44" s="54">
        <v>0.2473198</v>
      </c>
      <c r="D44" s="68">
        <v>0.0369629</v>
      </c>
      <c r="E44" s="68">
        <v>0.2103569</v>
      </c>
      <c r="F44" s="54">
        <v>0.5506761</v>
      </c>
      <c r="G44" s="22">
        <v>0.1418274</v>
      </c>
      <c r="H44" s="68">
        <v>0.0163058</v>
      </c>
      <c r="I44" s="22">
        <v>0.0682345</v>
      </c>
      <c r="J44" s="68">
        <v>0.0076596</v>
      </c>
      <c r="K44" s="68">
        <v>0.0195246</v>
      </c>
      <c r="L44" s="22">
        <v>0.1697863</v>
      </c>
      <c r="M44" s="68">
        <v>0.0176011</v>
      </c>
      <c r="N44" s="22">
        <v>0.1081128</v>
      </c>
      <c r="O44" s="68">
        <v>0.0193271</v>
      </c>
      <c r="P44" s="22">
        <v>0.0627151</v>
      </c>
      <c r="Q44" s="68">
        <v>0.0098146</v>
      </c>
      <c r="R44" s="68">
        <v>0.0316072</v>
      </c>
      <c r="S44" s="54">
        <v>0.202004</v>
      </c>
      <c r="T44" s="44">
        <v>0.0046542</v>
      </c>
      <c r="U44" s="220">
        <f t="shared" si="3"/>
        <v>0.0415665</v>
      </c>
    </row>
    <row r="45" spans="1:21" ht="15">
      <c r="A45" s="132">
        <v>1932</v>
      </c>
      <c r="B45" s="219">
        <v>0.1207627</v>
      </c>
      <c r="C45" s="54">
        <v>0.1955162</v>
      </c>
      <c r="D45" s="68">
        <v>0.0416896</v>
      </c>
      <c r="E45" s="68">
        <v>0.1538267</v>
      </c>
      <c r="F45" s="54">
        <v>0.6238859</v>
      </c>
      <c r="G45" s="22">
        <v>0.1939956</v>
      </c>
      <c r="H45" s="68">
        <v>0.0139496</v>
      </c>
      <c r="I45" s="22">
        <v>0.0874307</v>
      </c>
      <c r="J45" s="68">
        <v>0.0059873</v>
      </c>
      <c r="K45" s="68">
        <v>0.0232332</v>
      </c>
      <c r="L45" s="22">
        <v>0.14477</v>
      </c>
      <c r="M45" s="68">
        <v>0.0104343</v>
      </c>
      <c r="N45" s="22">
        <v>0.1379245</v>
      </c>
      <c r="O45" s="68">
        <v>0.020009</v>
      </c>
      <c r="P45" s="22">
        <v>0.0597651</v>
      </c>
      <c r="Q45" s="68">
        <v>0.0123237</v>
      </c>
      <c r="R45" s="68">
        <v>0.0294161</v>
      </c>
      <c r="S45" s="54">
        <v>0.180598</v>
      </c>
      <c r="T45" s="44">
        <v>0.0024968</v>
      </c>
      <c r="U45" s="220">
        <f t="shared" si="3"/>
        <v>0.0303712</v>
      </c>
    </row>
    <row r="46" spans="1:21" ht="15">
      <c r="A46" s="132">
        <v>1937</v>
      </c>
      <c r="B46" s="219">
        <v>0.0836917</v>
      </c>
      <c r="C46" s="54">
        <v>0.1802838</v>
      </c>
      <c r="D46" s="68">
        <v>0.0455539</v>
      </c>
      <c r="E46" s="68">
        <v>0.13473</v>
      </c>
      <c r="F46" s="54">
        <v>0.5773451</v>
      </c>
      <c r="G46" s="22">
        <v>0.1327975</v>
      </c>
      <c r="H46" s="68">
        <v>0.019163</v>
      </c>
      <c r="I46" s="22">
        <v>0.0973765</v>
      </c>
      <c r="J46" s="68">
        <v>0.0067797</v>
      </c>
      <c r="K46" s="68">
        <v>0.0206338</v>
      </c>
      <c r="L46" s="22">
        <v>0.137701</v>
      </c>
      <c r="M46" s="68">
        <v>0.01402</v>
      </c>
      <c r="N46" s="22">
        <v>0.1337167</v>
      </c>
      <c r="O46" s="68">
        <v>0.0231994</v>
      </c>
      <c r="P46" s="22">
        <v>0.0757534</v>
      </c>
      <c r="Q46" s="68">
        <v>0.0253193</v>
      </c>
      <c r="R46" s="68">
        <v>0.0387214</v>
      </c>
      <c r="S46" s="54">
        <v>0.242371</v>
      </c>
      <c r="T46" s="44">
        <v>0.0025503</v>
      </c>
      <c r="U46" s="220">
        <f t="shared" si="3"/>
        <v>0.0399627</v>
      </c>
    </row>
    <row r="47" spans="1:21" ht="15" thickBot="1">
      <c r="A47" s="19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166"/>
    </row>
    <row r="48" spans="1:21" ht="15.75" thickBot="1" thickTop="1">
      <c r="A48" s="403" t="s">
        <v>496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5"/>
    </row>
    <row r="49" spans="1:21" ht="15.75" thickBot="1" thickTop="1">
      <c r="A49" s="327" t="s">
        <v>495</v>
      </c>
      <c r="B49" s="328"/>
      <c r="C49" s="328"/>
      <c r="D49" s="328"/>
      <c r="E49" s="328"/>
      <c r="F49" s="328"/>
      <c r="G49" s="328"/>
      <c r="H49" s="328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13"/>
    </row>
    <row r="50" ht="15" thickTop="1"/>
  </sheetData>
  <mergeCells count="30">
    <mergeCell ref="A3:U3"/>
    <mergeCell ref="C4:U4"/>
    <mergeCell ref="A5:A9"/>
    <mergeCell ref="C5:C8"/>
    <mergeCell ref="F5:F8"/>
    <mergeCell ref="O5:O8"/>
    <mergeCell ref="K5:K8"/>
    <mergeCell ref="Q5:Q8"/>
    <mergeCell ref="G5:G8"/>
    <mergeCell ref="H5:H8"/>
    <mergeCell ref="B10:U10"/>
    <mergeCell ref="B20:U20"/>
    <mergeCell ref="U5:U8"/>
    <mergeCell ref="B5:B8"/>
    <mergeCell ref="B9:U9"/>
    <mergeCell ref="I5:I8"/>
    <mergeCell ref="S5:S8"/>
    <mergeCell ref="T5:T8"/>
    <mergeCell ref="M5:M8"/>
    <mergeCell ref="N5:N8"/>
    <mergeCell ref="P5:P8"/>
    <mergeCell ref="R5:R8"/>
    <mergeCell ref="D5:D8"/>
    <mergeCell ref="E5:E8"/>
    <mergeCell ref="J5:J8"/>
    <mergeCell ref="L5:L8"/>
    <mergeCell ref="A48:U48"/>
    <mergeCell ref="A49:U49"/>
    <mergeCell ref="B29:U29"/>
    <mergeCell ref="B38:U3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35">
      <selection activeCell="A3" sqref="A3:M58"/>
    </sheetView>
  </sheetViews>
  <sheetFormatPr defaultColWidth="11.5546875" defaultRowHeight="15"/>
  <cols>
    <col min="1" max="13" width="7.3359375" style="0" customWidth="1"/>
    <col min="14" max="23" width="10.77734375" style="0" customWidth="1"/>
    <col min="24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thickTop="1">
      <c r="A3" s="370" t="s">
        <v>426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2"/>
    </row>
    <row r="4" spans="1:13" ht="18" customHeight="1">
      <c r="A4" s="221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</row>
    <row r="5" spans="1:13" ht="18" customHeight="1">
      <c r="A5" s="390"/>
      <c r="B5" s="379" t="s">
        <v>119</v>
      </c>
      <c r="C5" s="339"/>
      <c r="D5" s="339"/>
      <c r="E5" s="339"/>
      <c r="F5" s="339"/>
      <c r="G5" s="339"/>
      <c r="H5" s="379" t="s">
        <v>121</v>
      </c>
      <c r="I5" s="339"/>
      <c r="J5" s="339"/>
      <c r="K5" s="339"/>
      <c r="L5" s="339"/>
      <c r="M5" s="326"/>
    </row>
    <row r="6" spans="1:13" ht="18" customHeight="1">
      <c r="A6" s="390"/>
      <c r="B6" s="70" t="s">
        <v>118</v>
      </c>
      <c r="C6" s="222" t="s">
        <v>120</v>
      </c>
      <c r="D6" s="70" t="s">
        <v>19</v>
      </c>
      <c r="E6" s="70" t="s">
        <v>20</v>
      </c>
      <c r="F6" s="70" t="s">
        <v>21</v>
      </c>
      <c r="G6" s="70" t="s">
        <v>22</v>
      </c>
      <c r="H6" s="70" t="s">
        <v>118</v>
      </c>
      <c r="I6" s="222" t="s">
        <v>120</v>
      </c>
      <c r="J6" s="70" t="s">
        <v>19</v>
      </c>
      <c r="K6" s="70" t="s">
        <v>20</v>
      </c>
      <c r="L6" s="70" t="s">
        <v>21</v>
      </c>
      <c r="M6" s="223" t="s">
        <v>22</v>
      </c>
    </row>
    <row r="7" spans="1:13" ht="1.5" customHeight="1">
      <c r="A7" s="130"/>
      <c r="B7" s="6"/>
      <c r="C7" s="6" t="s">
        <v>139</v>
      </c>
      <c r="D7" s="6" t="s">
        <v>140</v>
      </c>
      <c r="E7" s="6" t="s">
        <v>142</v>
      </c>
      <c r="F7" s="6" t="s">
        <v>143</v>
      </c>
      <c r="G7" s="6" t="s">
        <v>141</v>
      </c>
      <c r="H7" s="47"/>
      <c r="I7" s="12"/>
      <c r="J7" s="12"/>
      <c r="K7" s="12"/>
      <c r="L7" s="12"/>
      <c r="M7" s="131"/>
    </row>
    <row r="8" spans="1:13" ht="18" customHeight="1">
      <c r="A8" s="132">
        <v>1872</v>
      </c>
      <c r="B8" s="30">
        <f aca="true" t="shared" si="0" ref="B8:B14">SUM(C8:G8)</f>
        <v>1741</v>
      </c>
      <c r="C8" s="30">
        <v>60</v>
      </c>
      <c r="D8" s="30">
        <v>907</v>
      </c>
      <c r="E8" s="30">
        <v>508</v>
      </c>
      <c r="F8" s="30">
        <v>0</v>
      </c>
      <c r="G8" s="30">
        <v>266</v>
      </c>
      <c r="H8" s="124">
        <f aca="true" t="shared" si="1" ref="H8:M9">B8/$B8</f>
        <v>1</v>
      </c>
      <c r="I8" s="124">
        <f t="shared" si="1"/>
        <v>0.03446295232624928</v>
      </c>
      <c r="J8" s="124">
        <f t="shared" si="1"/>
        <v>0.520964962665135</v>
      </c>
      <c r="K8" s="124">
        <f t="shared" si="1"/>
        <v>0.2917863296955773</v>
      </c>
      <c r="L8" s="124">
        <f t="shared" si="1"/>
        <v>0</v>
      </c>
      <c r="M8" s="224">
        <f t="shared" si="1"/>
        <v>0.15278575531303848</v>
      </c>
    </row>
    <row r="9" spans="1:13" ht="18" customHeight="1">
      <c r="A9" s="132">
        <v>1882</v>
      </c>
      <c r="B9" s="30">
        <f>SUM(C9:G9)</f>
        <v>2638</v>
      </c>
      <c r="C9" s="30">
        <v>125</v>
      </c>
      <c r="D9" s="30">
        <v>1354</v>
      </c>
      <c r="E9" s="30">
        <v>818</v>
      </c>
      <c r="F9" s="30">
        <v>0</v>
      </c>
      <c r="G9" s="30">
        <v>341</v>
      </c>
      <c r="H9" s="124">
        <f t="shared" si="1"/>
        <v>1</v>
      </c>
      <c r="I9" s="124">
        <f t="shared" si="1"/>
        <v>0.047384382107657316</v>
      </c>
      <c r="J9" s="124">
        <f t="shared" si="1"/>
        <v>0.513267626990144</v>
      </c>
      <c r="K9" s="124">
        <f t="shared" si="1"/>
        <v>0.3100833965125095</v>
      </c>
      <c r="L9" s="124">
        <f t="shared" si="1"/>
        <v>0</v>
      </c>
      <c r="M9" s="224">
        <f t="shared" si="1"/>
        <v>0.12926459438968915</v>
      </c>
    </row>
    <row r="10" spans="1:13" ht="18" customHeight="1">
      <c r="A10" s="132">
        <v>1912</v>
      </c>
      <c r="B10" s="30">
        <f t="shared" si="0"/>
        <v>3063</v>
      </c>
      <c r="C10" s="30">
        <v>274</v>
      </c>
      <c r="D10" s="30">
        <v>1427</v>
      </c>
      <c r="E10" s="30">
        <v>968</v>
      </c>
      <c r="F10" s="30">
        <v>41</v>
      </c>
      <c r="G10" s="30">
        <v>353</v>
      </c>
      <c r="H10" s="124">
        <f aca="true" t="shared" si="2" ref="H10:K13">B10/$B10</f>
        <v>1</v>
      </c>
      <c r="I10" s="124">
        <f t="shared" si="2"/>
        <v>0.08945478289258897</v>
      </c>
      <c r="J10" s="124">
        <f t="shared" si="2"/>
        <v>0.46588312112308194</v>
      </c>
      <c r="K10" s="124">
        <f t="shared" si="2"/>
        <v>0.31603003591250406</v>
      </c>
      <c r="L10" s="124">
        <f aca="true" t="shared" si="3" ref="L10:M13">F10/$B10</f>
        <v>0.013385569702905649</v>
      </c>
      <c r="M10" s="224">
        <f t="shared" si="3"/>
        <v>0.11524649036891936</v>
      </c>
    </row>
    <row r="11" spans="1:13" ht="18" customHeight="1">
      <c r="A11" s="132">
        <v>1922</v>
      </c>
      <c r="B11" s="30">
        <f t="shared" si="0"/>
        <v>2567</v>
      </c>
      <c r="C11" s="30">
        <v>11</v>
      </c>
      <c r="D11" s="30">
        <v>1322</v>
      </c>
      <c r="E11" s="30">
        <v>887</v>
      </c>
      <c r="F11" s="30">
        <v>32</v>
      </c>
      <c r="G11" s="30">
        <v>315</v>
      </c>
      <c r="H11" s="124">
        <f t="shared" si="2"/>
        <v>1</v>
      </c>
      <c r="I11" s="124">
        <f t="shared" si="2"/>
        <v>0.004285157771717959</v>
      </c>
      <c r="J11" s="124">
        <f t="shared" si="2"/>
        <v>0.5149980522010128</v>
      </c>
      <c r="K11" s="124">
        <f t="shared" si="2"/>
        <v>0.345539540319439</v>
      </c>
      <c r="L11" s="124">
        <f t="shared" si="3"/>
        <v>0.012465913517724971</v>
      </c>
      <c r="M11" s="224">
        <f t="shared" si="3"/>
        <v>0.12271133619010519</v>
      </c>
    </row>
    <row r="12" spans="1:13" ht="18" customHeight="1">
      <c r="A12" s="132">
        <v>1927</v>
      </c>
      <c r="B12" s="30">
        <f t="shared" si="0"/>
        <v>2504</v>
      </c>
      <c r="C12" s="30">
        <v>17</v>
      </c>
      <c r="D12" s="30">
        <v>1308</v>
      </c>
      <c r="E12" s="30">
        <v>836</v>
      </c>
      <c r="F12" s="30">
        <v>43</v>
      </c>
      <c r="G12" s="30">
        <v>300</v>
      </c>
      <c r="H12" s="124">
        <f t="shared" si="2"/>
        <v>1</v>
      </c>
      <c r="I12" s="124">
        <f t="shared" si="2"/>
        <v>0.006789137380191693</v>
      </c>
      <c r="J12" s="124">
        <f t="shared" si="2"/>
        <v>0.5223642172523961</v>
      </c>
      <c r="K12" s="124">
        <f t="shared" si="2"/>
        <v>0.33386581469648563</v>
      </c>
      <c r="L12" s="124">
        <f t="shared" si="3"/>
        <v>0.017172523961661343</v>
      </c>
      <c r="M12" s="224">
        <f t="shared" si="3"/>
        <v>0.11980830670926518</v>
      </c>
    </row>
    <row r="13" spans="1:13" ht="18" customHeight="1">
      <c r="A13" s="132">
        <v>1932</v>
      </c>
      <c r="B13" s="30">
        <f t="shared" si="0"/>
        <v>2675</v>
      </c>
      <c r="C13" s="30">
        <v>13</v>
      </c>
      <c r="D13" s="30">
        <v>1413</v>
      </c>
      <c r="E13" s="30">
        <v>866</v>
      </c>
      <c r="F13" s="30">
        <v>62</v>
      </c>
      <c r="G13" s="30">
        <v>321</v>
      </c>
      <c r="H13" s="124">
        <f t="shared" si="2"/>
        <v>1</v>
      </c>
      <c r="I13" s="124">
        <f t="shared" si="2"/>
        <v>0.00485981308411215</v>
      </c>
      <c r="J13" s="124">
        <f t="shared" si="2"/>
        <v>0.5282242990654206</v>
      </c>
      <c r="K13" s="124">
        <f t="shared" si="2"/>
        <v>0.32373831775700934</v>
      </c>
      <c r="L13" s="124">
        <f t="shared" si="3"/>
        <v>0.023177570093457944</v>
      </c>
      <c r="M13" s="224">
        <f t="shared" si="3"/>
        <v>0.12</v>
      </c>
    </row>
    <row r="14" spans="1:13" ht="18" customHeight="1">
      <c r="A14" s="132">
        <v>1937</v>
      </c>
      <c r="B14" s="30">
        <f t="shared" si="0"/>
        <v>2769</v>
      </c>
      <c r="C14" s="30">
        <v>20</v>
      </c>
      <c r="D14" s="30">
        <v>1518</v>
      </c>
      <c r="E14" s="30">
        <v>877</v>
      </c>
      <c r="F14" s="30">
        <v>57</v>
      </c>
      <c r="G14" s="30">
        <v>297</v>
      </c>
      <c r="H14" s="124">
        <f aca="true" t="shared" si="4" ref="H14:M14">B14/$B14</f>
        <v>1</v>
      </c>
      <c r="I14" s="124">
        <f t="shared" si="4"/>
        <v>0.007222824124232575</v>
      </c>
      <c r="J14" s="124">
        <f t="shared" si="4"/>
        <v>0.5482123510292525</v>
      </c>
      <c r="K14" s="124">
        <f t="shared" si="4"/>
        <v>0.3167208378475984</v>
      </c>
      <c r="L14" s="124">
        <f t="shared" si="4"/>
        <v>0.020585048754062838</v>
      </c>
      <c r="M14" s="224">
        <f t="shared" si="4"/>
        <v>0.10725893824485373</v>
      </c>
    </row>
    <row r="15" spans="1:13" ht="4.5" customHeight="1">
      <c r="A15" s="186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90"/>
    </row>
    <row r="16" spans="1:13" ht="18" customHeight="1">
      <c r="A16" s="390"/>
      <c r="B16" s="379" t="s">
        <v>151</v>
      </c>
      <c r="C16" s="339"/>
      <c r="D16" s="339"/>
      <c r="E16" s="339"/>
      <c r="F16" s="339"/>
      <c r="G16" s="339"/>
      <c r="H16" s="379" t="s">
        <v>247</v>
      </c>
      <c r="I16" s="339"/>
      <c r="J16" s="339"/>
      <c r="K16" s="339"/>
      <c r="L16" s="339"/>
      <c r="M16" s="326"/>
    </row>
    <row r="17" spans="1:13" ht="18" customHeight="1">
      <c r="A17" s="390"/>
      <c r="B17" s="70" t="s">
        <v>118</v>
      </c>
      <c r="C17" s="222" t="s">
        <v>120</v>
      </c>
      <c r="D17" s="70" t="s">
        <v>19</v>
      </c>
      <c r="E17" s="70" t="s">
        <v>20</v>
      </c>
      <c r="F17" s="70" t="s">
        <v>21</v>
      </c>
      <c r="G17" s="70" t="s">
        <v>22</v>
      </c>
      <c r="H17" s="70" t="s">
        <v>118</v>
      </c>
      <c r="I17" s="222" t="s">
        <v>120</v>
      </c>
      <c r="J17" s="70" t="s">
        <v>19</v>
      </c>
      <c r="K17" s="70" t="s">
        <v>20</v>
      </c>
      <c r="L17" s="70" t="s">
        <v>21</v>
      </c>
      <c r="M17" s="223" t="s">
        <v>22</v>
      </c>
    </row>
    <row r="18" spans="1:13" ht="4.5" customHeight="1">
      <c r="A18" s="130"/>
      <c r="B18" s="62"/>
      <c r="C18" s="75" t="s">
        <v>144</v>
      </c>
      <c r="D18" s="75" t="s">
        <v>145</v>
      </c>
      <c r="E18" s="75" t="s">
        <v>146</v>
      </c>
      <c r="F18" s="75" t="s">
        <v>147</v>
      </c>
      <c r="G18" s="75" t="s">
        <v>148</v>
      </c>
      <c r="H18" s="209"/>
      <c r="I18" s="12" t="s">
        <v>342</v>
      </c>
      <c r="J18" s="12" t="s">
        <v>343</v>
      </c>
      <c r="K18" s="12" t="s">
        <v>344</v>
      </c>
      <c r="L18" s="12" t="s">
        <v>345</v>
      </c>
      <c r="M18" s="131" t="s">
        <v>346</v>
      </c>
    </row>
    <row r="19" spans="1:13" ht="18" customHeight="1">
      <c r="A19" s="132">
        <v>1872</v>
      </c>
      <c r="B19" s="208">
        <f aca="true" t="shared" si="5" ref="B19:B25">SUMPRODUCT(C19:G19,C8:G8)/B8</f>
        <v>0.48535324681217684</v>
      </c>
      <c r="C19" s="208">
        <v>0.0666667</v>
      </c>
      <c r="D19" s="208">
        <v>0.8577729</v>
      </c>
      <c r="E19" s="208">
        <v>0.1200787</v>
      </c>
      <c r="F19" s="208"/>
      <c r="G19" s="208">
        <v>0.0075188</v>
      </c>
      <c r="H19" s="208">
        <f aca="true" t="shared" si="6" ref="H19:H25">SUMPRODUCT(I19:M19,I8:M8)/H8</f>
        <v>0.677771391843768</v>
      </c>
      <c r="I19" s="22">
        <v>0.95</v>
      </c>
      <c r="J19" s="22">
        <v>0.4123484</v>
      </c>
      <c r="K19" s="22">
        <v>0.9547244</v>
      </c>
      <c r="L19" s="22"/>
      <c r="M19" s="183">
        <v>0.9924812</v>
      </c>
    </row>
    <row r="20" spans="1:13" ht="18" customHeight="1">
      <c r="A20" s="132">
        <v>1882</v>
      </c>
      <c r="B20" s="208">
        <f t="shared" si="5"/>
        <v>0.46702046027293403</v>
      </c>
      <c r="C20" s="208">
        <v>0.04</v>
      </c>
      <c r="D20" s="208">
        <v>0.8441654</v>
      </c>
      <c r="E20" s="208">
        <v>0.101467</v>
      </c>
      <c r="F20" s="208"/>
      <c r="G20" s="208">
        <v>0.0029326</v>
      </c>
      <c r="H20" s="208">
        <f t="shared" si="6"/>
        <v>0.6986353384761183</v>
      </c>
      <c r="I20" s="22">
        <v>0.984</v>
      </c>
      <c r="J20" s="22">
        <v>0.4327917</v>
      </c>
      <c r="K20" s="22">
        <v>0.9706602</v>
      </c>
      <c r="L20" s="22"/>
      <c r="M20" s="183">
        <v>0.9970675</v>
      </c>
    </row>
    <row r="21" spans="1:13" ht="18" customHeight="1">
      <c r="A21" s="132">
        <v>1912</v>
      </c>
      <c r="B21" s="208">
        <f t="shared" si="5"/>
        <v>0.4720861912504081</v>
      </c>
      <c r="C21" s="208">
        <v>0.4781022</v>
      </c>
      <c r="D21" s="208">
        <v>0.8325158</v>
      </c>
      <c r="E21" s="208">
        <v>0.1311983</v>
      </c>
      <c r="F21" s="208">
        <v>0</v>
      </c>
      <c r="G21" s="208">
        <v>0</v>
      </c>
      <c r="H21" s="208">
        <f t="shared" si="6"/>
        <v>0.7397975915768853</v>
      </c>
      <c r="I21" s="22">
        <v>0.5547445</v>
      </c>
      <c r="J21" s="22">
        <v>0.5480028</v>
      </c>
      <c r="K21" s="22">
        <v>0.9690083</v>
      </c>
      <c r="L21" s="22">
        <v>1</v>
      </c>
      <c r="M21" s="183">
        <v>1</v>
      </c>
    </row>
    <row r="22" spans="1:13" ht="18" customHeight="1">
      <c r="A22" s="132">
        <v>1922</v>
      </c>
      <c r="B22" s="208">
        <f t="shared" si="5"/>
        <v>0.49552008402804815</v>
      </c>
      <c r="C22" s="208">
        <v>0.2727273</v>
      </c>
      <c r="D22" s="208">
        <v>0.8509834</v>
      </c>
      <c r="E22" s="208">
        <v>0.1589628</v>
      </c>
      <c r="F22" s="208">
        <v>0</v>
      </c>
      <c r="G22" s="208">
        <v>0.0095238</v>
      </c>
      <c r="H22" s="208">
        <f t="shared" si="6"/>
        <v>0.7647059111024542</v>
      </c>
      <c r="I22" s="22">
        <v>0.8181818</v>
      </c>
      <c r="J22" s="22">
        <v>0.5733737</v>
      </c>
      <c r="K22" s="22">
        <v>0.9594138</v>
      </c>
      <c r="L22" s="22">
        <v>1</v>
      </c>
      <c r="M22" s="183">
        <v>0.9936508</v>
      </c>
    </row>
    <row r="23" spans="1:13" ht="18" customHeight="1">
      <c r="A23" s="132">
        <v>1927</v>
      </c>
      <c r="B23" s="208">
        <f t="shared" si="5"/>
        <v>0.494408971086262</v>
      </c>
      <c r="C23" s="208">
        <v>0</v>
      </c>
      <c r="D23" s="208">
        <v>0.8425077</v>
      </c>
      <c r="E23" s="208">
        <v>0.1543062</v>
      </c>
      <c r="F23" s="208">
        <v>0.0465116</v>
      </c>
      <c r="G23" s="208">
        <v>0.0166667</v>
      </c>
      <c r="H23" s="208">
        <f t="shared" si="6"/>
        <v>0.7531948674520766</v>
      </c>
      <c r="I23" s="22">
        <v>1</v>
      </c>
      <c r="J23" s="22">
        <v>0.5619266</v>
      </c>
      <c r="K23" s="22">
        <v>0.9509569</v>
      </c>
      <c r="L23" s="22">
        <v>0.9534883</v>
      </c>
      <c r="M23" s="183">
        <v>0.9933333</v>
      </c>
    </row>
    <row r="24" spans="1:13" ht="18" customHeight="1">
      <c r="A24" s="132">
        <v>1932</v>
      </c>
      <c r="B24" s="208">
        <f t="shared" si="5"/>
        <v>0.5095327096074767</v>
      </c>
      <c r="C24" s="208">
        <v>0</v>
      </c>
      <c r="D24" s="208">
        <v>0.8690729</v>
      </c>
      <c r="E24" s="208">
        <v>0.147806</v>
      </c>
      <c r="F24" s="208">
        <v>0.0322581</v>
      </c>
      <c r="G24" s="208">
        <v>0.0155763</v>
      </c>
      <c r="H24" s="208">
        <f t="shared" si="6"/>
        <v>0.7465420277383178</v>
      </c>
      <c r="I24" s="22">
        <v>1</v>
      </c>
      <c r="J24" s="22">
        <v>0.5463552</v>
      </c>
      <c r="K24" s="22">
        <v>0.9595843</v>
      </c>
      <c r="L24" s="22">
        <v>0.983871</v>
      </c>
      <c r="M24" s="183">
        <v>0.9968848</v>
      </c>
    </row>
    <row r="25" spans="1:13" ht="18" customHeight="1">
      <c r="A25" s="132">
        <v>1937</v>
      </c>
      <c r="B25" s="208">
        <f t="shared" si="5"/>
        <v>0.5384615198627664</v>
      </c>
      <c r="C25" s="208">
        <v>0.3</v>
      </c>
      <c r="D25" s="208">
        <v>0.8827404</v>
      </c>
      <c r="E25" s="208">
        <v>0.1584949</v>
      </c>
      <c r="F25" s="208">
        <v>0</v>
      </c>
      <c r="G25" s="208">
        <v>0.020202</v>
      </c>
      <c r="H25" s="208">
        <f t="shared" si="6"/>
        <v>0.7168652764897077</v>
      </c>
      <c r="I25" s="22">
        <v>0.85</v>
      </c>
      <c r="J25" s="22">
        <v>0.5098814</v>
      </c>
      <c r="K25" s="22">
        <v>0.9646522</v>
      </c>
      <c r="L25" s="22">
        <v>1</v>
      </c>
      <c r="M25" s="183">
        <v>0.979798</v>
      </c>
    </row>
    <row r="26" spans="1:13" ht="4.5" customHeight="1">
      <c r="A26" s="186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90"/>
    </row>
    <row r="27" spans="1:13" ht="18" customHeight="1">
      <c r="A27" s="390"/>
      <c r="B27" s="379" t="s">
        <v>150</v>
      </c>
      <c r="C27" s="339"/>
      <c r="D27" s="339"/>
      <c r="E27" s="339"/>
      <c r="F27" s="339"/>
      <c r="G27" s="339"/>
      <c r="H27" s="379" t="s">
        <v>252</v>
      </c>
      <c r="I27" s="339"/>
      <c r="J27" s="339"/>
      <c r="K27" s="339"/>
      <c r="L27" s="339"/>
      <c r="M27" s="326"/>
    </row>
    <row r="28" spans="1:13" ht="18" customHeight="1">
      <c r="A28" s="390"/>
      <c r="B28" s="70" t="s">
        <v>118</v>
      </c>
      <c r="C28" s="222" t="s">
        <v>120</v>
      </c>
      <c r="D28" s="70" t="s">
        <v>19</v>
      </c>
      <c r="E28" s="70" t="s">
        <v>20</v>
      </c>
      <c r="F28" s="70" t="s">
        <v>21</v>
      </c>
      <c r="G28" s="70" t="s">
        <v>22</v>
      </c>
      <c r="H28" s="70" t="s">
        <v>118</v>
      </c>
      <c r="I28" s="222" t="s">
        <v>120</v>
      </c>
      <c r="J28" s="70" t="s">
        <v>19</v>
      </c>
      <c r="K28" s="70" t="s">
        <v>20</v>
      </c>
      <c r="L28" s="70" t="s">
        <v>21</v>
      </c>
      <c r="M28" s="223" t="s">
        <v>22</v>
      </c>
    </row>
    <row r="29" spans="1:13" ht="1.5" customHeight="1">
      <c r="A29" s="130"/>
      <c r="B29" s="62" t="s">
        <v>149</v>
      </c>
      <c r="C29" s="75" t="s">
        <v>144</v>
      </c>
      <c r="D29" s="75" t="s">
        <v>145</v>
      </c>
      <c r="E29" s="75" t="s">
        <v>146</v>
      </c>
      <c r="F29" s="75" t="s">
        <v>147</v>
      </c>
      <c r="G29" s="75" t="s">
        <v>148</v>
      </c>
      <c r="H29" s="225">
        <v>37135</v>
      </c>
      <c r="I29" s="12" t="s">
        <v>342</v>
      </c>
      <c r="J29" s="12" t="s">
        <v>343</v>
      </c>
      <c r="K29" s="12" t="s">
        <v>344</v>
      </c>
      <c r="L29" s="12" t="s">
        <v>345</v>
      </c>
      <c r="M29" s="131" t="s">
        <v>346</v>
      </c>
    </row>
    <row r="30" spans="1:13" ht="18" customHeight="1">
      <c r="A30" s="132">
        <v>1872</v>
      </c>
      <c r="B30" s="208">
        <v>0.4896425</v>
      </c>
      <c r="C30" s="208">
        <v>0.0735294</v>
      </c>
      <c r="D30" s="208">
        <v>0.8686548</v>
      </c>
      <c r="E30" s="208">
        <v>0.1143791</v>
      </c>
      <c r="F30" s="208"/>
      <c r="G30" s="208">
        <v>0.0027273</v>
      </c>
      <c r="H30" s="208">
        <v>0.6140996</v>
      </c>
      <c r="I30" s="22">
        <v>0.9313725</v>
      </c>
      <c r="J30" s="22">
        <v>0.301396</v>
      </c>
      <c r="K30" s="22">
        <v>0.9405228</v>
      </c>
      <c r="L30" s="22"/>
      <c r="M30" s="183">
        <v>0.9972727</v>
      </c>
    </row>
    <row r="31" spans="1:13" ht="18" customHeight="1">
      <c r="A31" s="132">
        <v>1882</v>
      </c>
      <c r="B31" s="208">
        <v>0.48235</v>
      </c>
      <c r="C31" s="208">
        <v>0.0408521</v>
      </c>
      <c r="D31" s="208">
        <v>0.8666667</v>
      </c>
      <c r="E31" s="208">
        <v>0.0871918</v>
      </c>
      <c r="F31" s="208"/>
      <c r="G31" s="208">
        <v>0.0042215</v>
      </c>
      <c r="H31" s="208">
        <v>0.6329801</v>
      </c>
      <c r="I31" s="22">
        <v>0.979198</v>
      </c>
      <c r="J31" s="22">
        <v>0.3257245</v>
      </c>
      <c r="K31" s="22">
        <v>0.9606113</v>
      </c>
      <c r="L31" s="22"/>
      <c r="M31" s="183">
        <v>0.9957784</v>
      </c>
    </row>
    <row r="32" spans="1:13" ht="18" customHeight="1">
      <c r="A32" s="132">
        <v>1912</v>
      </c>
      <c r="B32" s="208">
        <v>0.4838364</v>
      </c>
      <c r="C32" s="208">
        <v>0.4381323</v>
      </c>
      <c r="D32" s="208">
        <v>0.8429633</v>
      </c>
      <c r="E32" s="208">
        <v>0.1178847</v>
      </c>
      <c r="F32" s="208">
        <v>0</v>
      </c>
      <c r="G32" s="208">
        <v>0</v>
      </c>
      <c r="H32" s="208">
        <v>0.6749756</v>
      </c>
      <c r="I32" s="22">
        <v>0.5875486</v>
      </c>
      <c r="J32" s="22">
        <v>0.4438712</v>
      </c>
      <c r="K32" s="22">
        <v>0.9585016</v>
      </c>
      <c r="L32" s="22">
        <v>1</v>
      </c>
      <c r="M32" s="183">
        <v>1</v>
      </c>
    </row>
    <row r="33" spans="1:13" ht="18" customHeight="1">
      <c r="A33" s="132">
        <v>1922</v>
      </c>
      <c r="B33" s="208">
        <v>0.51393</v>
      </c>
      <c r="C33" s="208">
        <v>0.2222222</v>
      </c>
      <c r="D33" s="208">
        <v>0.8751686</v>
      </c>
      <c r="E33" s="208">
        <v>0.1509618</v>
      </c>
      <c r="F33" s="208">
        <v>0</v>
      </c>
      <c r="G33" s="208">
        <v>0.0105342</v>
      </c>
      <c r="H33" s="208">
        <v>0.6961935</v>
      </c>
      <c r="I33" s="22">
        <v>0.8888889</v>
      </c>
      <c r="J33" s="22">
        <v>0.4596417</v>
      </c>
      <c r="K33" s="22">
        <v>0.9484839</v>
      </c>
      <c r="L33" s="22">
        <v>1</v>
      </c>
      <c r="M33" s="183">
        <v>0.9954853</v>
      </c>
    </row>
    <row r="34" spans="1:13" ht="18" customHeight="1">
      <c r="A34" s="132">
        <v>1927</v>
      </c>
      <c r="B34" s="208">
        <v>0.5096022</v>
      </c>
      <c r="C34" s="208">
        <v>0</v>
      </c>
      <c r="D34" s="208">
        <v>0.8679025</v>
      </c>
      <c r="E34" s="208">
        <v>0.1339662</v>
      </c>
      <c r="F34" s="208">
        <v>0.0718563</v>
      </c>
      <c r="G34" s="208">
        <v>0.0115741</v>
      </c>
      <c r="H34" s="208">
        <v>0.6637632</v>
      </c>
      <c r="I34" s="22">
        <v>1</v>
      </c>
      <c r="J34" s="22">
        <v>0.416</v>
      </c>
      <c r="K34" s="22">
        <v>0.9331927</v>
      </c>
      <c r="L34" s="22">
        <v>0.9281437</v>
      </c>
      <c r="M34" s="183">
        <v>0.9930556</v>
      </c>
    </row>
    <row r="35" spans="1:13" ht="18" customHeight="1">
      <c r="A35" s="132">
        <v>1932</v>
      </c>
      <c r="B35" s="208">
        <v>0.5276863</v>
      </c>
      <c r="C35" s="208">
        <v>0</v>
      </c>
      <c r="D35" s="208">
        <v>0.8886999</v>
      </c>
      <c r="E35" s="208">
        <v>0.1417047</v>
      </c>
      <c r="F35" s="208">
        <v>0.0350877</v>
      </c>
      <c r="G35" s="208">
        <v>0.0092736</v>
      </c>
      <c r="H35" s="208">
        <v>0.6641622</v>
      </c>
      <c r="I35" s="22">
        <v>1</v>
      </c>
      <c r="J35" s="22">
        <v>0.4159108</v>
      </c>
      <c r="K35" s="22">
        <v>0.9414241</v>
      </c>
      <c r="L35" s="22">
        <v>0.9824561</v>
      </c>
      <c r="M35" s="183">
        <v>0.9992272</v>
      </c>
    </row>
    <row r="36" spans="1:13" ht="18" customHeight="1">
      <c r="A36" s="132">
        <v>1937</v>
      </c>
      <c r="B36" s="208">
        <v>0.5500981</v>
      </c>
      <c r="C36" s="208">
        <v>0.245283</v>
      </c>
      <c r="D36" s="208">
        <v>0.9063137</v>
      </c>
      <c r="E36" s="208">
        <v>0.1495298</v>
      </c>
      <c r="F36" s="208">
        <v>0</v>
      </c>
      <c r="G36" s="208">
        <v>0.0369515</v>
      </c>
      <c r="H36" s="208">
        <v>0.6258287</v>
      </c>
      <c r="I36" s="22">
        <v>0.8490566</v>
      </c>
      <c r="J36" s="22">
        <v>0.3594705</v>
      </c>
      <c r="K36" s="22">
        <v>0.947022</v>
      </c>
      <c r="L36" s="22">
        <v>1</v>
      </c>
      <c r="M36" s="183">
        <v>0.9630485</v>
      </c>
    </row>
    <row r="37" spans="1:13" ht="1.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90"/>
    </row>
    <row r="38" spans="1:13" ht="39.75" customHeight="1">
      <c r="A38" s="390"/>
      <c r="B38" s="379" t="s">
        <v>434</v>
      </c>
      <c r="C38" s="339"/>
      <c r="D38" s="339"/>
      <c r="E38" s="339"/>
      <c r="F38" s="339"/>
      <c r="G38" s="339"/>
      <c r="H38" s="379" t="s">
        <v>440</v>
      </c>
      <c r="I38" s="339"/>
      <c r="J38" s="339"/>
      <c r="K38" s="339"/>
      <c r="L38" s="339"/>
      <c r="M38" s="326"/>
    </row>
    <row r="39" spans="1:13" ht="18" customHeight="1">
      <c r="A39" s="390"/>
      <c r="B39" s="70" t="s">
        <v>118</v>
      </c>
      <c r="C39" s="222" t="s">
        <v>120</v>
      </c>
      <c r="D39" s="70" t="s">
        <v>19</v>
      </c>
      <c r="E39" s="70" t="s">
        <v>20</v>
      </c>
      <c r="F39" s="70" t="s">
        <v>21</v>
      </c>
      <c r="G39" s="70" t="s">
        <v>22</v>
      </c>
      <c r="H39" s="70" t="s">
        <v>118</v>
      </c>
      <c r="I39" s="222" t="s">
        <v>120</v>
      </c>
      <c r="J39" s="70" t="s">
        <v>19</v>
      </c>
      <c r="K39" s="70" t="s">
        <v>20</v>
      </c>
      <c r="L39" s="70" t="s">
        <v>21</v>
      </c>
      <c r="M39" s="223" t="s">
        <v>22</v>
      </c>
    </row>
    <row r="40" spans="1:13" ht="1.5" customHeight="1">
      <c r="A40" s="130"/>
      <c r="B40" s="62" t="s">
        <v>149</v>
      </c>
      <c r="C40" s="75" t="s">
        <v>429</v>
      </c>
      <c r="D40" s="75" t="s">
        <v>430</v>
      </c>
      <c r="E40" s="75" t="s">
        <v>431</v>
      </c>
      <c r="F40" s="75" t="s">
        <v>432</v>
      </c>
      <c r="G40" s="75" t="s">
        <v>433</v>
      </c>
      <c r="H40" s="225">
        <v>37135</v>
      </c>
      <c r="I40" s="12" t="s">
        <v>435</v>
      </c>
      <c r="J40" s="12" t="s">
        <v>436</v>
      </c>
      <c r="K40" s="12" t="s">
        <v>437</v>
      </c>
      <c r="L40" s="12" t="s">
        <v>438</v>
      </c>
      <c r="M40" s="131" t="s">
        <v>439</v>
      </c>
    </row>
    <row r="41" spans="1:13" ht="18" customHeight="1">
      <c r="A41" s="132">
        <v>1872</v>
      </c>
      <c r="B41" s="208"/>
      <c r="C41" s="208">
        <v>0.0490196</v>
      </c>
      <c r="D41" s="208">
        <v>0.3159899</v>
      </c>
      <c r="E41" s="208">
        <v>0.0411765</v>
      </c>
      <c r="F41" s="208"/>
      <c r="G41" s="208">
        <v>0.0018182</v>
      </c>
      <c r="H41" s="208"/>
      <c r="I41" s="22">
        <v>0.9803922</v>
      </c>
      <c r="J41" s="22">
        <v>0.5031726</v>
      </c>
      <c r="K41" s="22">
        <v>0.9529412</v>
      </c>
      <c r="L41" s="22"/>
      <c r="M41" s="183">
        <v>0.9990909</v>
      </c>
    </row>
    <row r="42" spans="1:13" ht="18" customHeight="1">
      <c r="A42" s="132">
        <v>1882</v>
      </c>
      <c r="B42" s="208"/>
      <c r="C42" s="208">
        <v>0.0157895</v>
      </c>
      <c r="D42" s="208">
        <v>0.3568038</v>
      </c>
      <c r="E42" s="208">
        <v>0.0386155</v>
      </c>
      <c r="F42" s="208"/>
      <c r="G42" s="208">
        <v>0</v>
      </c>
      <c r="H42" s="208"/>
      <c r="I42" s="22">
        <v>0.9874687</v>
      </c>
      <c r="J42" s="22">
        <v>0.550483</v>
      </c>
      <c r="K42" s="22">
        <v>0.9719822</v>
      </c>
      <c r="L42" s="22"/>
      <c r="M42" s="183">
        <v>0.9957784</v>
      </c>
    </row>
    <row r="43" spans="1:13" ht="18" customHeight="1">
      <c r="A43" s="132">
        <v>1912</v>
      </c>
      <c r="B43" s="208"/>
      <c r="C43" s="208">
        <v>0.0132296</v>
      </c>
      <c r="D43" s="208">
        <v>0.2752786</v>
      </c>
      <c r="E43" s="208">
        <v>0.0433346</v>
      </c>
      <c r="F43" s="208">
        <v>0.0333333</v>
      </c>
      <c r="G43" s="208">
        <v>0</v>
      </c>
      <c r="H43" s="208"/>
      <c r="I43" s="22">
        <v>0.5891051</v>
      </c>
      <c r="J43" s="22">
        <v>0.5354932</v>
      </c>
      <c r="K43" s="22">
        <v>0.9673154</v>
      </c>
      <c r="L43" s="22">
        <v>1</v>
      </c>
      <c r="M43" s="183">
        <v>1</v>
      </c>
    </row>
    <row r="44" spans="1:13" ht="18" customHeight="1">
      <c r="A44" s="132">
        <v>1922</v>
      </c>
      <c r="B44" s="208"/>
      <c r="C44" s="208">
        <v>0</v>
      </c>
      <c r="D44" s="208">
        <v>0.291466</v>
      </c>
      <c r="E44" s="208">
        <v>0.0554288</v>
      </c>
      <c r="F44" s="208">
        <v>0</v>
      </c>
      <c r="G44" s="208">
        <v>0.0015049</v>
      </c>
      <c r="H44" s="208"/>
      <c r="I44" s="22">
        <v>0.8888889</v>
      </c>
      <c r="J44" s="22">
        <v>0.537854</v>
      </c>
      <c r="K44" s="22">
        <v>0.9631562</v>
      </c>
      <c r="L44" s="22">
        <v>1</v>
      </c>
      <c r="M44" s="183">
        <v>0.9954853</v>
      </c>
    </row>
    <row r="45" spans="1:13" ht="18" customHeight="1">
      <c r="A45" s="132">
        <v>1927</v>
      </c>
      <c r="B45" s="208"/>
      <c r="C45" s="208">
        <v>0</v>
      </c>
      <c r="D45" s="208">
        <v>0.2429268</v>
      </c>
      <c r="E45" s="208">
        <v>0.0414909</v>
      </c>
      <c r="F45" s="208">
        <v>0.0239521</v>
      </c>
      <c r="G45" s="208">
        <v>0.003858</v>
      </c>
      <c r="H45" s="208"/>
      <c r="I45" s="22">
        <v>1</v>
      </c>
      <c r="J45" s="22">
        <v>0.4958049</v>
      </c>
      <c r="K45" s="22">
        <v>0.9416315</v>
      </c>
      <c r="L45" s="22">
        <v>0.9520958</v>
      </c>
      <c r="M45" s="183">
        <v>0.9938272</v>
      </c>
    </row>
    <row r="46" spans="1:13" ht="18" customHeight="1">
      <c r="A46" s="132">
        <v>1932</v>
      </c>
      <c r="B46" s="208"/>
      <c r="C46" s="208">
        <v>0</v>
      </c>
      <c r="D46" s="208">
        <v>0.2197657</v>
      </c>
      <c r="E46" s="208">
        <v>0.0505086</v>
      </c>
      <c r="F46" s="208">
        <v>0</v>
      </c>
      <c r="G46" s="208">
        <v>0.0023184</v>
      </c>
      <c r="H46" s="208"/>
      <c r="I46" s="22">
        <v>1</v>
      </c>
      <c r="J46" s="22">
        <v>0.494898</v>
      </c>
      <c r="K46" s="22">
        <v>0.9565065</v>
      </c>
      <c r="L46" s="22">
        <v>0.9824561</v>
      </c>
      <c r="M46" s="183">
        <v>0.9992272</v>
      </c>
    </row>
    <row r="47" spans="1:13" ht="18" customHeight="1" thickBot="1">
      <c r="A47" s="135">
        <v>1937</v>
      </c>
      <c r="B47" s="125"/>
      <c r="C47" s="125">
        <v>0.009434</v>
      </c>
      <c r="D47" s="125">
        <v>0.2012899</v>
      </c>
      <c r="E47" s="125">
        <v>0.0360502</v>
      </c>
      <c r="F47" s="125">
        <v>0</v>
      </c>
      <c r="G47" s="125">
        <v>0</v>
      </c>
      <c r="H47" s="125"/>
      <c r="I47" s="126">
        <v>0.8490566</v>
      </c>
      <c r="J47" s="126">
        <v>0.4375424</v>
      </c>
      <c r="K47" s="126">
        <v>0.9507837</v>
      </c>
      <c r="L47" s="126">
        <v>1</v>
      </c>
      <c r="M47" s="226">
        <v>0.9630485</v>
      </c>
    </row>
    <row r="48" spans="1:13" ht="34.5" customHeight="1" thickTop="1">
      <c r="A48" s="390"/>
      <c r="B48" s="379" t="s">
        <v>498</v>
      </c>
      <c r="C48" s="339"/>
      <c r="D48" s="339"/>
      <c r="E48" s="339"/>
      <c r="F48" s="339"/>
      <c r="G48" s="339"/>
      <c r="H48" s="379" t="s">
        <v>499</v>
      </c>
      <c r="I48" s="339"/>
      <c r="J48" s="339"/>
      <c r="K48" s="339"/>
      <c r="L48" s="339"/>
      <c r="M48" s="326"/>
    </row>
    <row r="49" spans="1:13" ht="18" customHeight="1">
      <c r="A49" s="390"/>
      <c r="B49" s="70" t="s">
        <v>118</v>
      </c>
      <c r="C49" s="222" t="s">
        <v>120</v>
      </c>
      <c r="D49" s="70" t="s">
        <v>19</v>
      </c>
      <c r="E49" s="70" t="s">
        <v>20</v>
      </c>
      <c r="F49" s="70" t="s">
        <v>21</v>
      </c>
      <c r="G49" s="70" t="s">
        <v>22</v>
      </c>
      <c r="H49" s="70" t="s">
        <v>118</v>
      </c>
      <c r="I49" s="222" t="s">
        <v>120</v>
      </c>
      <c r="J49" s="70" t="s">
        <v>19</v>
      </c>
      <c r="K49" s="70" t="s">
        <v>20</v>
      </c>
      <c r="L49" s="70" t="s">
        <v>21</v>
      </c>
      <c r="M49" s="223" t="s">
        <v>22</v>
      </c>
    </row>
    <row r="50" spans="1:13" ht="1.5" customHeight="1">
      <c r="A50" s="130"/>
      <c r="B50" s="62" t="s">
        <v>149</v>
      </c>
      <c r="C50" s="75" t="s">
        <v>500</v>
      </c>
      <c r="D50" s="75" t="s">
        <v>501</v>
      </c>
      <c r="E50" s="75" t="s">
        <v>502</v>
      </c>
      <c r="F50" s="75" t="s">
        <v>503</v>
      </c>
      <c r="G50" s="75" t="s">
        <v>504</v>
      </c>
      <c r="H50" s="225">
        <v>37135</v>
      </c>
      <c r="I50" s="12" t="s">
        <v>435</v>
      </c>
      <c r="J50" s="12" t="s">
        <v>436</v>
      </c>
      <c r="K50" s="12" t="s">
        <v>437</v>
      </c>
      <c r="L50" s="12" t="s">
        <v>438</v>
      </c>
      <c r="M50" s="131" t="s">
        <v>439</v>
      </c>
    </row>
    <row r="51" spans="1:13" ht="18" customHeight="1">
      <c r="A51" s="132">
        <v>1872</v>
      </c>
      <c r="B51" s="208"/>
      <c r="C51" s="208">
        <v>0.9313725</v>
      </c>
      <c r="D51" s="208">
        <v>0.2944162</v>
      </c>
      <c r="E51" s="208">
        <v>0.9346405</v>
      </c>
      <c r="F51" s="208"/>
      <c r="G51" s="208">
        <v>0.9554545</v>
      </c>
      <c r="H51" s="208"/>
      <c r="I51" s="22">
        <v>0.9803922</v>
      </c>
      <c r="J51" s="22">
        <v>0.5019035</v>
      </c>
      <c r="K51" s="22">
        <v>0.9522876</v>
      </c>
      <c r="L51" s="22"/>
      <c r="M51" s="183">
        <v>0.9572727</v>
      </c>
    </row>
    <row r="52" spans="1:13" ht="18" customHeight="1">
      <c r="A52" s="132">
        <v>1882</v>
      </c>
      <c r="B52" s="208"/>
      <c r="C52" s="208">
        <v>0.979198</v>
      </c>
      <c r="D52" s="208">
        <v>0.3132737</v>
      </c>
      <c r="E52" s="208">
        <v>0.9510598</v>
      </c>
      <c r="F52" s="208"/>
      <c r="G52" s="208">
        <v>0.9414893</v>
      </c>
      <c r="H52" s="208"/>
      <c r="I52" s="22">
        <v>0.9874687</v>
      </c>
      <c r="J52" s="22">
        <v>0.5458795</v>
      </c>
      <c r="K52" s="22">
        <v>0.9624307</v>
      </c>
      <c r="L52" s="22"/>
      <c r="M52" s="183">
        <v>0.9414893</v>
      </c>
    </row>
    <row r="53" spans="1:13" ht="18" customHeight="1">
      <c r="A53" s="132">
        <v>1912</v>
      </c>
      <c r="B53" s="208"/>
      <c r="C53" s="208">
        <v>0.5875486</v>
      </c>
      <c r="D53" s="208">
        <v>0.4438712</v>
      </c>
      <c r="E53" s="208">
        <v>0.9585016</v>
      </c>
      <c r="F53" s="208">
        <v>1</v>
      </c>
      <c r="G53" s="208">
        <v>1</v>
      </c>
      <c r="H53" s="208"/>
      <c r="I53" s="22">
        <v>0.5891051</v>
      </c>
      <c r="J53" s="22">
        <v>0.5354932</v>
      </c>
      <c r="K53" s="22">
        <v>0.9673154</v>
      </c>
      <c r="L53" s="22">
        <v>1</v>
      </c>
      <c r="M53" s="183">
        <v>1</v>
      </c>
    </row>
    <row r="54" spans="1:13" ht="18" customHeight="1">
      <c r="A54" s="132">
        <v>1922</v>
      </c>
      <c r="B54" s="208"/>
      <c r="C54" s="208">
        <v>0.8888889</v>
      </c>
      <c r="D54" s="208">
        <v>0.4596417</v>
      </c>
      <c r="E54" s="208">
        <v>0.9484839</v>
      </c>
      <c r="F54" s="208">
        <v>1</v>
      </c>
      <c r="G54" s="208">
        <v>0.9954853</v>
      </c>
      <c r="H54" s="208"/>
      <c r="I54" s="22">
        <v>0.8888889</v>
      </c>
      <c r="J54" s="22">
        <v>0.5370834</v>
      </c>
      <c r="K54" s="22">
        <v>0.9631562</v>
      </c>
      <c r="L54" s="22">
        <v>1</v>
      </c>
      <c r="M54" s="183">
        <v>0.9954853</v>
      </c>
    </row>
    <row r="55" spans="1:13" ht="18" customHeight="1">
      <c r="A55" s="132">
        <v>1927</v>
      </c>
      <c r="B55" s="208"/>
      <c r="C55" s="208">
        <v>1</v>
      </c>
      <c r="D55" s="208">
        <v>0.416</v>
      </c>
      <c r="E55" s="208">
        <v>0.9331927</v>
      </c>
      <c r="F55" s="208">
        <v>0.9281437</v>
      </c>
      <c r="G55" s="208">
        <v>0.9930556</v>
      </c>
      <c r="H55" s="208"/>
      <c r="I55" s="22">
        <v>1</v>
      </c>
      <c r="J55" s="22">
        <v>0.4958049</v>
      </c>
      <c r="K55" s="22">
        <v>0.9416315</v>
      </c>
      <c r="L55" s="22">
        <v>0.9520958</v>
      </c>
      <c r="M55" s="183">
        <v>0.9938272</v>
      </c>
    </row>
    <row r="56" spans="1:13" ht="18" customHeight="1">
      <c r="A56" s="132">
        <v>1932</v>
      </c>
      <c r="B56" s="208"/>
      <c r="C56" s="208">
        <v>1</v>
      </c>
      <c r="D56" s="208">
        <v>0.4159108</v>
      </c>
      <c r="E56" s="208">
        <v>0.9414241</v>
      </c>
      <c r="F56" s="208">
        <v>0.9824561</v>
      </c>
      <c r="G56" s="208">
        <v>0.9992272</v>
      </c>
      <c r="H56" s="208"/>
      <c r="I56" s="22">
        <v>1</v>
      </c>
      <c r="J56" s="22">
        <v>0.494898</v>
      </c>
      <c r="K56" s="22">
        <v>0.9565065</v>
      </c>
      <c r="L56" s="22">
        <v>0.9824561</v>
      </c>
      <c r="M56" s="183">
        <v>0.9992272</v>
      </c>
    </row>
    <row r="57" spans="1:13" ht="18" customHeight="1" thickBot="1">
      <c r="A57" s="135">
        <v>1937</v>
      </c>
      <c r="B57" s="125"/>
      <c r="C57" s="125">
        <v>0.8490566</v>
      </c>
      <c r="D57" s="125">
        <v>0.3577732</v>
      </c>
      <c r="E57" s="125">
        <v>0.9432602</v>
      </c>
      <c r="F57" s="125">
        <v>1</v>
      </c>
      <c r="G57" s="125">
        <v>0.9630485</v>
      </c>
      <c r="H57" s="125"/>
      <c r="I57" s="126">
        <v>0.8490566</v>
      </c>
      <c r="J57" s="126">
        <v>0.4365241</v>
      </c>
      <c r="K57" s="126">
        <v>0.9482759</v>
      </c>
      <c r="L57" s="126">
        <v>1</v>
      </c>
      <c r="M57" s="226">
        <v>0.9630485</v>
      </c>
    </row>
    <row r="58" spans="1:13" ht="15.75" thickBot="1" thickTop="1">
      <c r="A58" s="327" t="s">
        <v>497</v>
      </c>
      <c r="B58" s="328"/>
      <c r="C58" s="328"/>
      <c r="D58" s="328"/>
      <c r="E58" s="328"/>
      <c r="F58" s="328"/>
      <c r="G58" s="328"/>
      <c r="H58" s="328"/>
      <c r="I58" s="393"/>
      <c r="J58" s="393"/>
      <c r="K58" s="393"/>
      <c r="L58" s="393"/>
      <c r="M58" s="313"/>
    </row>
    <row r="59" ht="15" thickTop="1"/>
  </sheetData>
  <mergeCells count="18">
    <mergeCell ref="A3:M3"/>
    <mergeCell ref="B4:M4"/>
    <mergeCell ref="A5:A6"/>
    <mergeCell ref="B5:G5"/>
    <mergeCell ref="H5:M5"/>
    <mergeCell ref="H16:M16"/>
    <mergeCell ref="A27:A28"/>
    <mergeCell ref="B27:G27"/>
    <mergeCell ref="H27:M27"/>
    <mergeCell ref="A16:A17"/>
    <mergeCell ref="B16:G16"/>
    <mergeCell ref="A38:A39"/>
    <mergeCell ref="B38:G38"/>
    <mergeCell ref="H38:M38"/>
    <mergeCell ref="A58:M58"/>
    <mergeCell ref="A48:A49"/>
    <mergeCell ref="B48:G48"/>
    <mergeCell ref="H48:M4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A1">
      <selection activeCell="A3" sqref="A3:Q37"/>
    </sheetView>
  </sheetViews>
  <sheetFormatPr defaultColWidth="11.5546875" defaultRowHeight="15"/>
  <cols>
    <col min="1" max="8" width="5.77734375" style="0" customWidth="1"/>
    <col min="9" max="9" width="6.6640625" style="0" customWidth="1"/>
    <col min="10" max="16" width="5.77734375" style="0" customWidth="1"/>
    <col min="17" max="17" width="6.664062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8" customHeight="1" thickTop="1">
      <c r="A3" s="370" t="s">
        <v>425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2"/>
      <c r="O3" s="372"/>
      <c r="P3" s="372"/>
      <c r="Q3" s="373"/>
    </row>
    <row r="4" spans="1:17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47"/>
      <c r="O4" s="47"/>
      <c r="P4" s="47"/>
      <c r="Q4" s="166"/>
    </row>
    <row r="5" spans="1:17" ht="18" customHeight="1">
      <c r="A5" s="389"/>
      <c r="B5" s="350" t="s">
        <v>153</v>
      </c>
      <c r="C5" s="351"/>
      <c r="D5" s="351"/>
      <c r="E5" s="351"/>
      <c r="F5" s="351"/>
      <c r="G5" s="351"/>
      <c r="H5" s="351"/>
      <c r="I5" s="351"/>
      <c r="J5" s="350" t="s">
        <v>512</v>
      </c>
      <c r="K5" s="351"/>
      <c r="L5" s="351"/>
      <c r="M5" s="351"/>
      <c r="N5" s="351"/>
      <c r="O5" s="351"/>
      <c r="P5" s="351"/>
      <c r="Q5" s="362"/>
    </row>
    <row r="6" spans="1:17" ht="18" customHeight="1">
      <c r="A6" s="391"/>
      <c r="B6" s="11" t="s">
        <v>118</v>
      </c>
      <c r="C6" s="16" t="s">
        <v>42</v>
      </c>
      <c r="D6" s="16" t="s">
        <v>43</v>
      </c>
      <c r="E6" s="16" t="s">
        <v>44</v>
      </c>
      <c r="F6" s="16" t="s">
        <v>45</v>
      </c>
      <c r="G6" s="16" t="s">
        <v>46</v>
      </c>
      <c r="H6" s="16" t="s">
        <v>47</v>
      </c>
      <c r="I6" s="18" t="s">
        <v>48</v>
      </c>
      <c r="J6" s="11" t="s">
        <v>118</v>
      </c>
      <c r="K6" s="16" t="s">
        <v>42</v>
      </c>
      <c r="L6" s="16" t="s">
        <v>43</v>
      </c>
      <c r="M6" s="16" t="s">
        <v>44</v>
      </c>
      <c r="N6" s="16" t="s">
        <v>45</v>
      </c>
      <c r="O6" s="16" t="s">
        <v>46</v>
      </c>
      <c r="P6" s="16" t="s">
        <v>47</v>
      </c>
      <c r="Q6" s="182" t="s">
        <v>48</v>
      </c>
    </row>
    <row r="7" spans="1:17" ht="18" customHeight="1">
      <c r="A7" s="203"/>
      <c r="B7" s="433" t="s">
        <v>152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6"/>
    </row>
    <row r="8" spans="1:17" ht="1.5" customHeight="1">
      <c r="A8" s="130"/>
      <c r="B8" s="6"/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  <c r="H8" s="47" t="s">
        <v>159</v>
      </c>
      <c r="I8" s="12" t="s">
        <v>160</v>
      </c>
      <c r="J8" s="77"/>
      <c r="K8" s="12" t="s">
        <v>505</v>
      </c>
      <c r="L8" s="12" t="s">
        <v>506</v>
      </c>
      <c r="M8" s="12" t="s">
        <v>507</v>
      </c>
      <c r="N8" s="227" t="s">
        <v>508</v>
      </c>
      <c r="O8" s="227" t="s">
        <v>509</v>
      </c>
      <c r="P8" s="227" t="s">
        <v>510</v>
      </c>
      <c r="Q8" s="228" t="s">
        <v>511</v>
      </c>
    </row>
    <row r="9" spans="1:17" ht="18" customHeight="1">
      <c r="A9" s="132">
        <v>1872</v>
      </c>
      <c r="B9" s="22">
        <f>TableB12!D30</f>
        <v>0.8686548</v>
      </c>
      <c r="C9" s="22"/>
      <c r="D9" s="22">
        <v>0.8782609</v>
      </c>
      <c r="E9" s="22">
        <v>0.8790849</v>
      </c>
      <c r="F9" s="22">
        <v>0.8610039</v>
      </c>
      <c r="G9" s="22">
        <v>0.8478803</v>
      </c>
      <c r="H9" s="124">
        <v>0.7948718</v>
      </c>
      <c r="I9" s="124">
        <v>0.5454546</v>
      </c>
      <c r="J9" s="78">
        <f>TableB12!J51</f>
        <v>0.5019035</v>
      </c>
      <c r="K9" s="22"/>
      <c r="L9" s="22">
        <v>0.2173913</v>
      </c>
      <c r="M9" s="22">
        <v>0.4934641</v>
      </c>
      <c r="N9" s="229">
        <v>0.6756757</v>
      </c>
      <c r="O9" s="229">
        <v>0.8653367</v>
      </c>
      <c r="P9" s="229">
        <v>0.8974359</v>
      </c>
      <c r="Q9" s="230">
        <v>1</v>
      </c>
    </row>
    <row r="10" spans="1:17" ht="18" customHeight="1">
      <c r="A10" s="132">
        <v>1882</v>
      </c>
      <c r="B10" s="22">
        <f>TableB12!D31</f>
        <v>0.8666667</v>
      </c>
      <c r="C10" s="22"/>
      <c r="D10" s="22">
        <v>0.9122807</v>
      </c>
      <c r="E10" s="22">
        <v>0.871235</v>
      </c>
      <c r="F10" s="22">
        <v>0.8642316</v>
      </c>
      <c r="G10" s="22">
        <v>0.8161512</v>
      </c>
      <c r="H10" s="124">
        <v>0.7479675</v>
      </c>
      <c r="I10" s="124">
        <v>0.7857143</v>
      </c>
      <c r="J10" s="78">
        <f>TableB12!J52</f>
        <v>0.5458795</v>
      </c>
      <c r="K10" s="22"/>
      <c r="L10" s="22">
        <v>0.2397661</v>
      </c>
      <c r="M10" s="22">
        <v>0.4700482</v>
      </c>
      <c r="N10" s="229">
        <v>0.7341103</v>
      </c>
      <c r="O10" s="229">
        <v>0.8642612</v>
      </c>
      <c r="P10" s="229">
        <v>0.9512195</v>
      </c>
      <c r="Q10" s="230">
        <v>0.9285714</v>
      </c>
    </row>
    <row r="11" spans="1:17" ht="18" customHeight="1">
      <c r="A11" s="132">
        <v>1912</v>
      </c>
      <c r="B11" s="22">
        <f>TableB12!D32</f>
        <v>0.8429633</v>
      </c>
      <c r="C11" s="22"/>
      <c r="D11" s="22">
        <v>0.8325123</v>
      </c>
      <c r="E11" s="22">
        <v>0.8704082</v>
      </c>
      <c r="F11" s="22">
        <v>0.8196721</v>
      </c>
      <c r="G11" s="22">
        <v>0.8274268</v>
      </c>
      <c r="H11" s="124">
        <v>0.7919463</v>
      </c>
      <c r="I11" s="124">
        <v>0.625</v>
      </c>
      <c r="J11" s="78">
        <f>TableB12!J53</f>
        <v>0.5354932</v>
      </c>
      <c r="K11" s="22"/>
      <c r="L11" s="22">
        <v>0.320197</v>
      </c>
      <c r="M11" s="22">
        <v>0.4530612</v>
      </c>
      <c r="N11" s="229">
        <v>0.7002342</v>
      </c>
      <c r="O11" s="229">
        <v>0.8628659</v>
      </c>
      <c r="P11" s="229">
        <v>0.9597315</v>
      </c>
      <c r="Q11" s="230">
        <v>1</v>
      </c>
    </row>
    <row r="12" spans="1:17" ht="18" customHeight="1">
      <c r="A12" s="132">
        <v>1922</v>
      </c>
      <c r="B12" s="22">
        <f>TableB12!D33</f>
        <v>0.8751686</v>
      </c>
      <c r="C12" s="22">
        <v>0.8837209</v>
      </c>
      <c r="D12" s="22">
        <v>0.8944724</v>
      </c>
      <c r="E12" s="22">
        <v>0.9076923</v>
      </c>
      <c r="F12" s="22">
        <v>0.8488889</v>
      </c>
      <c r="G12" s="22">
        <v>0.8121212</v>
      </c>
      <c r="H12" s="124">
        <v>0.7741935</v>
      </c>
      <c r="I12" s="124">
        <v>0.2727273</v>
      </c>
      <c r="J12" s="78">
        <f>TableB12!J54</f>
        <v>0.5370834</v>
      </c>
      <c r="K12" s="22">
        <v>0.2093023</v>
      </c>
      <c r="L12" s="22">
        <v>0.3567839</v>
      </c>
      <c r="M12" s="22">
        <v>0.5128205</v>
      </c>
      <c r="N12" s="229">
        <v>0.7155555</v>
      </c>
      <c r="O12" s="229">
        <v>0.8742424</v>
      </c>
      <c r="P12" s="229">
        <v>0.9354839</v>
      </c>
      <c r="Q12" s="230">
        <v>1</v>
      </c>
    </row>
    <row r="13" spans="1:17" ht="18" customHeight="1">
      <c r="A13" s="132">
        <v>1927</v>
      </c>
      <c r="B13" s="22">
        <f>TableB12!D34</f>
        <v>0.8679025</v>
      </c>
      <c r="C13" s="22">
        <v>0.9166667</v>
      </c>
      <c r="D13" s="22">
        <v>0.8756757</v>
      </c>
      <c r="E13" s="22">
        <v>0.8922155</v>
      </c>
      <c r="F13" s="22">
        <v>0.8476191</v>
      </c>
      <c r="G13" s="22">
        <v>0.8289242</v>
      </c>
      <c r="H13" s="124">
        <v>0.7024794</v>
      </c>
      <c r="I13" s="124">
        <v>0.5294118</v>
      </c>
      <c r="J13" s="78">
        <f>TableB12!J55</f>
        <v>0.4958049</v>
      </c>
      <c r="K13" s="22">
        <v>0.5833333</v>
      </c>
      <c r="L13" s="22">
        <v>0.3081081</v>
      </c>
      <c r="M13" s="22">
        <v>0.4211577</v>
      </c>
      <c r="N13" s="229">
        <v>0.6809524</v>
      </c>
      <c r="O13" s="229">
        <v>0.8447972</v>
      </c>
      <c r="P13" s="229">
        <v>0.9752066</v>
      </c>
      <c r="Q13" s="230">
        <v>0.9411765</v>
      </c>
    </row>
    <row r="14" spans="1:17" ht="18" customHeight="1">
      <c r="A14" s="132">
        <v>1932</v>
      </c>
      <c r="B14" s="22">
        <f>TableB12!D35</f>
        <v>0.8886999</v>
      </c>
      <c r="C14" s="22">
        <v>0.8939394</v>
      </c>
      <c r="D14" s="22">
        <v>0.9302949</v>
      </c>
      <c r="E14" s="22">
        <v>0.8739255</v>
      </c>
      <c r="F14" s="22">
        <v>0.8542857</v>
      </c>
      <c r="G14" s="22">
        <v>0.8542056</v>
      </c>
      <c r="H14" s="124">
        <v>0.875</v>
      </c>
      <c r="I14" s="124">
        <v>0.5555556</v>
      </c>
      <c r="J14" s="78">
        <f>TableB12!J56</f>
        <v>0.494898</v>
      </c>
      <c r="K14" s="22">
        <v>0.3409091</v>
      </c>
      <c r="L14" s="22">
        <v>0.3512064</v>
      </c>
      <c r="M14" s="22">
        <v>0.512894</v>
      </c>
      <c r="N14" s="229">
        <v>0.6542857</v>
      </c>
      <c r="O14" s="229">
        <v>0.8485981</v>
      </c>
      <c r="P14" s="229">
        <v>0.9423077</v>
      </c>
      <c r="Q14" s="230">
        <v>1</v>
      </c>
    </row>
    <row r="15" spans="1:17" ht="18" customHeight="1">
      <c r="A15" s="132">
        <v>1937</v>
      </c>
      <c r="B15" s="22">
        <f>TableB12!D36</f>
        <v>0.9063137</v>
      </c>
      <c r="C15" s="22">
        <v>0.9378531</v>
      </c>
      <c r="D15" s="22">
        <v>0.9265092</v>
      </c>
      <c r="E15" s="22">
        <v>0.9111111</v>
      </c>
      <c r="F15" s="22">
        <v>0.8841463</v>
      </c>
      <c r="G15" s="22">
        <v>0.8419244</v>
      </c>
      <c r="H15" s="124">
        <v>0.7878788</v>
      </c>
      <c r="I15" s="124">
        <v>0.8</v>
      </c>
      <c r="J15" s="78">
        <f>TableB12!J57</f>
        <v>0.4365241</v>
      </c>
      <c r="K15" s="22">
        <v>0.180791</v>
      </c>
      <c r="L15" s="22">
        <v>0.3175853</v>
      </c>
      <c r="M15" s="22">
        <v>0.4944444</v>
      </c>
      <c r="N15" s="229">
        <v>0.6798781</v>
      </c>
      <c r="O15" s="229">
        <v>0.8780069</v>
      </c>
      <c r="P15" s="229">
        <v>0.9292929</v>
      </c>
      <c r="Q15" s="230">
        <v>1</v>
      </c>
    </row>
    <row r="16" spans="1:17" ht="4.5" customHeight="1">
      <c r="A16" s="18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6"/>
      <c r="O16" s="76"/>
      <c r="P16" s="76"/>
      <c r="Q16" s="231"/>
    </row>
    <row r="17" spans="1:17" ht="15">
      <c r="A17" s="203"/>
      <c r="B17" s="433" t="s">
        <v>161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6"/>
    </row>
    <row r="18" spans="1:17" ht="1.5" customHeight="1">
      <c r="A18" s="130"/>
      <c r="B18" s="6" t="s">
        <v>149</v>
      </c>
      <c r="C18" s="6" t="s">
        <v>154</v>
      </c>
      <c r="D18" s="6" t="s">
        <v>155</v>
      </c>
      <c r="E18" s="6" t="s">
        <v>156</v>
      </c>
      <c r="F18" s="6" t="s">
        <v>157</v>
      </c>
      <c r="G18" s="6" t="s">
        <v>158</v>
      </c>
      <c r="H18" s="47" t="s">
        <v>159</v>
      </c>
      <c r="I18" s="12" t="s">
        <v>160</v>
      </c>
      <c r="J18" s="12" t="s">
        <v>513</v>
      </c>
      <c r="K18" s="12" t="s">
        <v>505</v>
      </c>
      <c r="L18" s="12" t="s">
        <v>506</v>
      </c>
      <c r="M18" s="12" t="s">
        <v>507</v>
      </c>
      <c r="N18" s="227" t="s">
        <v>508</v>
      </c>
      <c r="O18" s="227" t="s">
        <v>509</v>
      </c>
      <c r="P18" s="227" t="s">
        <v>510</v>
      </c>
      <c r="Q18" s="228" t="s">
        <v>511</v>
      </c>
    </row>
    <row r="19" spans="1:17" ht="18" customHeight="1">
      <c r="A19" s="132">
        <v>1872</v>
      </c>
      <c r="B19" s="22">
        <v>0.8658787</v>
      </c>
      <c r="C19" s="22"/>
      <c r="D19" s="22">
        <v>0.8309859</v>
      </c>
      <c r="E19" s="22">
        <v>0.9037433</v>
      </c>
      <c r="F19" s="22">
        <v>0.8553459</v>
      </c>
      <c r="G19" s="22">
        <v>0.8647541</v>
      </c>
      <c r="H19" s="124">
        <v>0.8225806</v>
      </c>
      <c r="I19" s="124">
        <v>0.5</v>
      </c>
      <c r="J19" s="78">
        <v>0.4861254</v>
      </c>
      <c r="K19" s="22"/>
      <c r="L19" s="22">
        <v>0.2394366</v>
      </c>
      <c r="M19" s="22">
        <v>0.4545455</v>
      </c>
      <c r="N19" s="229">
        <v>0.6226415</v>
      </c>
      <c r="O19" s="229">
        <v>0.8606557</v>
      </c>
      <c r="P19" s="229">
        <v>0.9032258</v>
      </c>
      <c r="Q19" s="230">
        <v>1</v>
      </c>
    </row>
    <row r="20" spans="1:17" ht="18" customHeight="1">
      <c r="A20" s="132">
        <v>1882</v>
      </c>
      <c r="B20" s="22">
        <v>0.8731388</v>
      </c>
      <c r="C20" s="22"/>
      <c r="D20" s="22">
        <v>0.9454545</v>
      </c>
      <c r="E20" s="22">
        <v>0.8625618</v>
      </c>
      <c r="F20" s="22">
        <v>0.8820824</v>
      </c>
      <c r="G20" s="22">
        <v>0.8235294</v>
      </c>
      <c r="H20" s="124">
        <v>0.7325581</v>
      </c>
      <c r="I20" s="124">
        <v>0.7272727</v>
      </c>
      <c r="J20" s="78">
        <v>0.5169098</v>
      </c>
      <c r="K20" s="22"/>
      <c r="L20" s="22">
        <v>0.2363636</v>
      </c>
      <c r="M20" s="22">
        <v>0.3846436</v>
      </c>
      <c r="N20" s="229">
        <v>0.7448491</v>
      </c>
      <c r="O20" s="229">
        <v>0.8567775</v>
      </c>
      <c r="P20" s="229">
        <v>0.9534883</v>
      </c>
      <c r="Q20" s="230">
        <v>0.9090909</v>
      </c>
    </row>
    <row r="21" spans="1:17" ht="18" customHeight="1">
      <c r="A21" s="132">
        <v>1912</v>
      </c>
      <c r="B21" s="22">
        <v>0.8561306</v>
      </c>
      <c r="C21" s="22"/>
      <c r="D21" s="22">
        <v>0.8203125</v>
      </c>
      <c r="E21" s="22">
        <v>0.897474</v>
      </c>
      <c r="F21" s="22">
        <v>0.8221477</v>
      </c>
      <c r="G21" s="22">
        <v>0.849642</v>
      </c>
      <c r="H21" s="124">
        <v>0.8285714</v>
      </c>
      <c r="I21" s="124">
        <v>0.6666667</v>
      </c>
      <c r="J21" s="78">
        <v>0.5375847</v>
      </c>
      <c r="K21" s="22"/>
      <c r="L21" s="22">
        <v>0.3203125</v>
      </c>
      <c r="M21" s="22">
        <v>0.4457652</v>
      </c>
      <c r="N21" s="229">
        <v>0.7080537</v>
      </c>
      <c r="O21" s="229">
        <v>0.8711217</v>
      </c>
      <c r="P21" s="229">
        <v>0.952381</v>
      </c>
      <c r="Q21" s="230">
        <v>1</v>
      </c>
    </row>
    <row r="22" spans="1:17" ht="18" customHeight="1">
      <c r="A22" s="132">
        <v>1922</v>
      </c>
      <c r="B22" s="22">
        <v>0.8829727</v>
      </c>
      <c r="C22" s="22">
        <v>0.9032258</v>
      </c>
      <c r="D22" s="22">
        <v>0.9111111</v>
      </c>
      <c r="E22" s="22">
        <v>0.9169961</v>
      </c>
      <c r="F22" s="22">
        <v>0.85</v>
      </c>
      <c r="G22" s="22">
        <v>0.8050458</v>
      </c>
      <c r="H22" s="124">
        <v>0.7816092</v>
      </c>
      <c r="I22" s="124">
        <v>0.2222222</v>
      </c>
      <c r="J22" s="78">
        <v>0.5259112</v>
      </c>
      <c r="K22" s="22">
        <v>0.2258064</v>
      </c>
      <c r="L22" s="22">
        <v>0.3481481</v>
      </c>
      <c r="M22" s="22">
        <v>0.4743083</v>
      </c>
      <c r="N22" s="229">
        <v>0.70625</v>
      </c>
      <c r="O22" s="229">
        <v>0.8990825</v>
      </c>
      <c r="P22" s="229">
        <v>0.9425287</v>
      </c>
      <c r="Q22" s="230">
        <v>1</v>
      </c>
    </row>
    <row r="23" spans="1:17" ht="18" customHeight="1">
      <c r="A23" s="132">
        <v>1927</v>
      </c>
      <c r="B23" s="22">
        <v>0.8725333</v>
      </c>
      <c r="C23" s="22">
        <v>0.9090909</v>
      </c>
      <c r="D23" s="22">
        <v>0.8661972</v>
      </c>
      <c r="E23" s="22">
        <v>0.9050279</v>
      </c>
      <c r="F23" s="22">
        <v>0.8552632</v>
      </c>
      <c r="G23" s="22">
        <v>0.8467532</v>
      </c>
      <c r="H23" s="124">
        <v>0.6818182</v>
      </c>
      <c r="I23" s="124">
        <v>0.4615385</v>
      </c>
      <c r="J23" s="78">
        <v>0.4872</v>
      </c>
      <c r="K23" s="22">
        <v>0.6363636</v>
      </c>
      <c r="L23" s="22">
        <v>0.3028169</v>
      </c>
      <c r="M23" s="22">
        <v>0.4050279</v>
      </c>
      <c r="N23" s="229">
        <v>0.7039474</v>
      </c>
      <c r="O23" s="229">
        <v>0.8311688</v>
      </c>
      <c r="P23" s="229">
        <v>0.9772727</v>
      </c>
      <c r="Q23" s="230">
        <v>1</v>
      </c>
    </row>
    <row r="24" spans="1:17" ht="18" customHeight="1">
      <c r="A24" s="132">
        <v>1932</v>
      </c>
      <c r="B24" s="22">
        <v>0.8851913</v>
      </c>
      <c r="C24" s="22">
        <v>0.89</v>
      </c>
      <c r="D24" s="22">
        <v>0.9262295</v>
      </c>
      <c r="E24" s="22">
        <v>0.8711111</v>
      </c>
      <c r="F24" s="22">
        <v>0.8506224</v>
      </c>
      <c r="G24" s="22">
        <v>0.8508287</v>
      </c>
      <c r="H24" s="124">
        <v>0.8987342</v>
      </c>
      <c r="I24" s="124">
        <v>0.4285714</v>
      </c>
      <c r="J24" s="78">
        <v>0.4944537</v>
      </c>
      <c r="K24" s="22">
        <v>0.35</v>
      </c>
      <c r="L24" s="22">
        <v>0.3196721</v>
      </c>
      <c r="M24" s="22">
        <v>0.5244445</v>
      </c>
      <c r="N24" s="229">
        <v>0.6804979</v>
      </c>
      <c r="O24" s="229">
        <v>0.8563536</v>
      </c>
      <c r="P24" s="229">
        <v>0.9367089</v>
      </c>
      <c r="Q24" s="230">
        <v>1</v>
      </c>
    </row>
    <row r="25" spans="1:17" ht="18" customHeight="1">
      <c r="A25" s="132">
        <v>1937</v>
      </c>
      <c r="B25" s="22">
        <v>0.9069824</v>
      </c>
      <c r="C25" s="22">
        <v>0.9323308</v>
      </c>
      <c r="D25" s="22">
        <v>0.9338521</v>
      </c>
      <c r="E25" s="22">
        <v>0.896</v>
      </c>
      <c r="F25" s="22">
        <v>0.9013453</v>
      </c>
      <c r="G25" s="22">
        <v>0.8220552</v>
      </c>
      <c r="H25" s="124">
        <v>0.7746479</v>
      </c>
      <c r="I25" s="124">
        <v>0.8181818</v>
      </c>
      <c r="J25" s="78">
        <v>0.4177338</v>
      </c>
      <c r="K25" s="22">
        <v>0.1879699</v>
      </c>
      <c r="L25" s="22">
        <v>0.2607004</v>
      </c>
      <c r="M25" s="22">
        <v>0.532</v>
      </c>
      <c r="N25" s="229">
        <v>0.6188341</v>
      </c>
      <c r="O25" s="229">
        <v>0.877193</v>
      </c>
      <c r="P25" s="229">
        <v>0.9577465</v>
      </c>
      <c r="Q25" s="230">
        <v>1</v>
      </c>
    </row>
    <row r="26" spans="1:17" ht="15">
      <c r="A26" s="389"/>
      <c r="B26" s="350" t="s">
        <v>153</v>
      </c>
      <c r="C26" s="351"/>
      <c r="D26" s="351"/>
      <c r="E26" s="351"/>
      <c r="F26" s="351"/>
      <c r="G26" s="351"/>
      <c r="H26" s="351"/>
      <c r="I26" s="351"/>
      <c r="J26" s="350" t="s">
        <v>514</v>
      </c>
      <c r="K26" s="351"/>
      <c r="L26" s="351"/>
      <c r="M26" s="351"/>
      <c r="N26" s="351"/>
      <c r="O26" s="351"/>
      <c r="P26" s="351"/>
      <c r="Q26" s="362"/>
    </row>
    <row r="27" spans="1:17" ht="15">
      <c r="A27" s="391"/>
      <c r="B27" s="11" t="s">
        <v>118</v>
      </c>
      <c r="C27" s="16" t="s">
        <v>23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28</v>
      </c>
      <c r="I27" s="18" t="s">
        <v>29</v>
      </c>
      <c r="J27" s="11" t="s">
        <v>118</v>
      </c>
      <c r="K27" s="16" t="s">
        <v>23</v>
      </c>
      <c r="L27" s="16" t="s">
        <v>24</v>
      </c>
      <c r="M27" s="16" t="s">
        <v>25</v>
      </c>
      <c r="N27" s="16" t="s">
        <v>26</v>
      </c>
      <c r="O27" s="16" t="s">
        <v>27</v>
      </c>
      <c r="P27" s="16" t="s">
        <v>28</v>
      </c>
      <c r="Q27" s="182" t="s">
        <v>29</v>
      </c>
    </row>
    <row r="28" spans="1:17" ht="15">
      <c r="A28" s="203"/>
      <c r="B28" s="433" t="s">
        <v>152</v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6"/>
    </row>
    <row r="29" spans="1:17" ht="1.5" customHeight="1">
      <c r="A29" s="130"/>
      <c r="B29" s="6"/>
      <c r="C29" s="6" t="s">
        <v>421</v>
      </c>
      <c r="D29" s="6" t="s">
        <v>422</v>
      </c>
      <c r="E29" s="6" t="s">
        <v>423</v>
      </c>
      <c r="F29" s="6" t="s">
        <v>424</v>
      </c>
      <c r="G29" s="6" t="s">
        <v>154</v>
      </c>
      <c r="H29" s="47" t="s">
        <v>155</v>
      </c>
      <c r="I29" s="12" t="s">
        <v>156</v>
      </c>
      <c r="J29" s="77"/>
      <c r="K29" s="12" t="s">
        <v>515</v>
      </c>
      <c r="L29" s="12" t="s">
        <v>516</v>
      </c>
      <c r="M29" s="12" t="s">
        <v>517</v>
      </c>
      <c r="N29" s="227" t="s">
        <v>518</v>
      </c>
      <c r="O29" s="227" t="s">
        <v>505</v>
      </c>
      <c r="P29" s="227" t="s">
        <v>506</v>
      </c>
      <c r="Q29" s="228" t="s">
        <v>507</v>
      </c>
    </row>
    <row r="30" spans="1:17" ht="18" customHeight="1">
      <c r="A30" s="132">
        <v>1872</v>
      </c>
      <c r="B30" s="22">
        <f>TableB12!D30</f>
        <v>0.8686548</v>
      </c>
      <c r="C30" s="22">
        <v>0.8823529</v>
      </c>
      <c r="D30" s="22">
        <v>0.9242424</v>
      </c>
      <c r="E30" s="22">
        <v>0.9172933</v>
      </c>
      <c r="F30" s="22">
        <v>0.9</v>
      </c>
      <c r="G30" s="22">
        <v>0.803132</v>
      </c>
      <c r="H30" s="124">
        <v>0.8416988</v>
      </c>
      <c r="I30" s="124">
        <v>0.5185185</v>
      </c>
      <c r="J30" s="78">
        <f>TableB12!J51</f>
        <v>0.5019035</v>
      </c>
      <c r="K30" s="22">
        <v>0.6470588</v>
      </c>
      <c r="L30" s="22">
        <v>0.449495</v>
      </c>
      <c r="M30" s="22">
        <v>0.4304511</v>
      </c>
      <c r="N30" s="229">
        <v>0.448</v>
      </c>
      <c r="O30" s="229">
        <v>0.5637584</v>
      </c>
      <c r="P30" s="229">
        <v>0.5366796</v>
      </c>
      <c r="Q30" s="230">
        <v>0.8518519</v>
      </c>
    </row>
    <row r="31" spans="1:17" ht="18" customHeight="1">
      <c r="A31" s="132">
        <v>1882</v>
      </c>
      <c r="B31" s="22">
        <f>TableB12!D31</f>
        <v>0.8666667</v>
      </c>
      <c r="C31" s="22">
        <v>0.8679989</v>
      </c>
      <c r="D31" s="22">
        <v>0.9207066</v>
      </c>
      <c r="E31" s="22">
        <v>0.8940787</v>
      </c>
      <c r="F31" s="22">
        <v>0.8955591</v>
      </c>
      <c r="G31" s="22">
        <v>0.8573256</v>
      </c>
      <c r="H31" s="124">
        <v>0.7470843</v>
      </c>
      <c r="I31" s="124">
        <v>0.7512339</v>
      </c>
      <c r="J31" s="78">
        <f>TableB12!J52</f>
        <v>0.5458795</v>
      </c>
      <c r="K31" s="22">
        <v>0.667042</v>
      </c>
      <c r="L31" s="22">
        <v>0.4383731</v>
      </c>
      <c r="M31" s="22">
        <v>0.5394003</v>
      </c>
      <c r="N31" s="229">
        <v>0.4867757</v>
      </c>
      <c r="O31" s="229">
        <v>0.5717939</v>
      </c>
      <c r="P31" s="229">
        <v>0.6631123</v>
      </c>
      <c r="Q31" s="230">
        <v>0.5370188</v>
      </c>
    </row>
    <row r="32" spans="1:17" ht="18" customHeight="1">
      <c r="A32" s="132">
        <v>1912</v>
      </c>
      <c r="B32" s="22">
        <f>TableB12!D32</f>
        <v>0.8429633</v>
      </c>
      <c r="C32" s="22">
        <v>0.8895028</v>
      </c>
      <c r="D32" s="22">
        <v>0.851602</v>
      </c>
      <c r="E32" s="22">
        <v>0.8547672</v>
      </c>
      <c r="F32" s="22">
        <v>0.8351116</v>
      </c>
      <c r="G32" s="22">
        <v>0.8498871</v>
      </c>
      <c r="H32" s="124">
        <v>0.7877238</v>
      </c>
      <c r="I32" s="124">
        <v>0.8106061</v>
      </c>
      <c r="J32" s="78">
        <f>TableB12!J53</f>
        <v>0.5354932</v>
      </c>
      <c r="K32" s="22">
        <v>0.4917127</v>
      </c>
      <c r="L32" s="22">
        <v>0.4671164</v>
      </c>
      <c r="M32" s="22">
        <v>0.4700665</v>
      </c>
      <c r="N32" s="229">
        <v>0.5063046</v>
      </c>
      <c r="O32" s="229">
        <v>0.5620767</v>
      </c>
      <c r="P32" s="229">
        <v>0.6649616</v>
      </c>
      <c r="Q32" s="230">
        <v>0.6515151</v>
      </c>
    </row>
    <row r="33" spans="1:17" ht="18" customHeight="1">
      <c r="A33" s="132">
        <v>1922</v>
      </c>
      <c r="B33" s="22">
        <f>TableB12!D33</f>
        <v>0.8751686</v>
      </c>
      <c r="C33" s="22">
        <v>0.8982036</v>
      </c>
      <c r="D33" s="22">
        <v>0.8589109</v>
      </c>
      <c r="E33" s="22">
        <v>0.8804469</v>
      </c>
      <c r="F33" s="22">
        <v>0.9440138</v>
      </c>
      <c r="G33" s="22">
        <v>0.856261</v>
      </c>
      <c r="H33" s="124">
        <v>0.8104839</v>
      </c>
      <c r="I33" s="124">
        <v>0.647541</v>
      </c>
      <c r="J33" s="78">
        <f>TableB12!J54</f>
        <v>0.5370834</v>
      </c>
      <c r="K33" s="22">
        <v>0.3772455</v>
      </c>
      <c r="L33" s="22">
        <v>0.4108911</v>
      </c>
      <c r="M33" s="22">
        <v>0.4681564</v>
      </c>
      <c r="N33" s="229">
        <v>0.5176572</v>
      </c>
      <c r="O33" s="229">
        <v>0.5493827</v>
      </c>
      <c r="P33" s="229">
        <v>0.6814516</v>
      </c>
      <c r="Q33" s="230">
        <v>0.8606557</v>
      </c>
    </row>
    <row r="34" spans="1:17" ht="18" customHeight="1">
      <c r="A34" s="132">
        <v>1927</v>
      </c>
      <c r="B34" s="22">
        <f>TableB12!D34</f>
        <v>0.8679025</v>
      </c>
      <c r="C34" s="22">
        <v>0.862069</v>
      </c>
      <c r="D34" s="22">
        <v>0.8708709</v>
      </c>
      <c r="E34" s="22">
        <v>0.9009662</v>
      </c>
      <c r="F34" s="22">
        <v>0.8805849</v>
      </c>
      <c r="G34" s="22">
        <v>0.8495103</v>
      </c>
      <c r="H34" s="124">
        <v>0.8299663</v>
      </c>
      <c r="I34" s="124">
        <v>0.6947368</v>
      </c>
      <c r="J34" s="78">
        <f>TableB12!J55</f>
        <v>0.4958049</v>
      </c>
      <c r="K34" s="22">
        <v>0.4758621</v>
      </c>
      <c r="L34" s="22">
        <v>0.5015015</v>
      </c>
      <c r="M34" s="22">
        <v>0.3780193</v>
      </c>
      <c r="N34" s="229">
        <v>0.4419172</v>
      </c>
      <c r="O34" s="229">
        <v>0.5200356</v>
      </c>
      <c r="P34" s="229">
        <v>0.6161616</v>
      </c>
      <c r="Q34" s="230">
        <v>0.6947368</v>
      </c>
    </row>
    <row r="35" spans="1:17" ht="18" customHeight="1">
      <c r="A35" s="132">
        <v>1932</v>
      </c>
      <c r="B35" s="22">
        <f>TableB12!D35</f>
        <v>0.8886999</v>
      </c>
      <c r="C35" s="22">
        <v>0.8785715</v>
      </c>
      <c r="D35" s="22">
        <v>0.8955613</v>
      </c>
      <c r="E35" s="22">
        <v>0.918552</v>
      </c>
      <c r="F35" s="22">
        <v>0.8833189</v>
      </c>
      <c r="G35" s="22">
        <v>0.8849481</v>
      </c>
      <c r="H35" s="124">
        <v>0.8704188</v>
      </c>
      <c r="I35" s="124">
        <v>0.8258706</v>
      </c>
      <c r="J35" s="78">
        <f>TableB12!J56</f>
        <v>0.494898</v>
      </c>
      <c r="K35" s="22">
        <v>0.5357143</v>
      </c>
      <c r="L35" s="22">
        <v>0.5822454</v>
      </c>
      <c r="M35" s="22">
        <v>0.3755656</v>
      </c>
      <c r="N35" s="229">
        <v>0.4503025</v>
      </c>
      <c r="O35" s="229">
        <v>0.5423875</v>
      </c>
      <c r="P35" s="229">
        <v>0.578534</v>
      </c>
      <c r="Q35" s="230">
        <v>0.6268657</v>
      </c>
    </row>
    <row r="36" spans="1:17" ht="18" customHeight="1" thickBot="1">
      <c r="A36" s="132">
        <v>1937</v>
      </c>
      <c r="B36" s="22">
        <f>TableB12!D36</f>
        <v>0.9063137</v>
      </c>
      <c r="C36" s="22">
        <v>0.8723404</v>
      </c>
      <c r="D36" s="22">
        <v>0.873706</v>
      </c>
      <c r="E36" s="22">
        <v>0.9416243</v>
      </c>
      <c r="F36" s="22">
        <v>0.9234269</v>
      </c>
      <c r="G36" s="22">
        <v>0.9022946</v>
      </c>
      <c r="H36" s="124">
        <v>0.8836364</v>
      </c>
      <c r="I36" s="124">
        <v>0.8842105</v>
      </c>
      <c r="J36" s="78">
        <f>TableB12!J57</f>
        <v>0.4365241</v>
      </c>
      <c r="K36" s="22">
        <v>0.3758865</v>
      </c>
      <c r="L36" s="22">
        <v>0.3954451</v>
      </c>
      <c r="M36" s="22">
        <v>0.3464467</v>
      </c>
      <c r="N36" s="229">
        <v>0.3669446</v>
      </c>
      <c r="O36" s="229">
        <v>0.488527</v>
      </c>
      <c r="P36" s="229">
        <v>0.5636364</v>
      </c>
      <c r="Q36" s="230">
        <v>0.5719298</v>
      </c>
    </row>
    <row r="37" spans="1:17" ht="15.75" thickBot="1" thickTop="1">
      <c r="A37" s="327" t="s">
        <v>519</v>
      </c>
      <c r="B37" s="328"/>
      <c r="C37" s="328"/>
      <c r="D37" s="328"/>
      <c r="E37" s="328"/>
      <c r="F37" s="328"/>
      <c r="G37" s="328"/>
      <c r="H37" s="328"/>
      <c r="I37" s="393"/>
      <c r="J37" s="393"/>
      <c r="K37" s="393"/>
      <c r="L37" s="393"/>
      <c r="M37" s="393"/>
      <c r="N37" s="393"/>
      <c r="O37" s="393"/>
      <c r="P37" s="393"/>
      <c r="Q37" s="313"/>
    </row>
    <row r="38" ht="15" thickTop="1"/>
  </sheetData>
  <mergeCells count="12">
    <mergeCell ref="A3:Q3"/>
    <mergeCell ref="B7:Q7"/>
    <mergeCell ref="B17:Q17"/>
    <mergeCell ref="B4:M4"/>
    <mergeCell ref="A5:A6"/>
    <mergeCell ref="B5:I5"/>
    <mergeCell ref="J5:Q5"/>
    <mergeCell ref="A37:Q37"/>
    <mergeCell ref="A26:A27"/>
    <mergeCell ref="B26:I26"/>
    <mergeCell ref="J26:Q26"/>
    <mergeCell ref="B28:Q2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3" sqref="A3:U38"/>
    </sheetView>
  </sheetViews>
  <sheetFormatPr defaultColWidth="11.5546875" defaultRowHeight="15"/>
  <cols>
    <col min="1" max="1" width="4.77734375" style="0" customWidth="1"/>
    <col min="2" max="2" width="6.21484375" style="0" customWidth="1"/>
    <col min="3" max="3" width="5.77734375" style="0" customWidth="1"/>
    <col min="4" max="5" width="4.21484375" style="0" customWidth="1"/>
    <col min="6" max="6" width="6.3359375" style="0" customWidth="1"/>
    <col min="7" max="28" width="4.77734375" style="0" customWidth="1"/>
    <col min="29" max="32" width="6.77734375" style="0" customWidth="1"/>
    <col min="33" max="36" width="10.77734375" style="0" customWidth="1"/>
    <col min="37" max="16384" width="8.88671875" style="0" customWidth="1"/>
  </cols>
  <sheetData>
    <row r="1" spans="1:21" ht="15">
      <c r="A1" s="55"/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thickTop="1">
      <c r="A3" s="370" t="s">
        <v>427</v>
      </c>
      <c r="B3" s="427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7"/>
    </row>
    <row r="4" spans="1:22" ht="18" customHeight="1">
      <c r="A4" s="127"/>
      <c r="B4" s="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49"/>
      <c r="V4" s="58"/>
    </row>
    <row r="5" spans="1:28" ht="18" customHeight="1">
      <c r="A5" s="428"/>
      <c r="B5" s="434" t="s">
        <v>85</v>
      </c>
      <c r="C5" s="418" t="s">
        <v>78</v>
      </c>
      <c r="D5" s="412" t="s">
        <v>92</v>
      </c>
      <c r="E5" s="412" t="s">
        <v>93</v>
      </c>
      <c r="F5" s="418" t="s">
        <v>77</v>
      </c>
      <c r="G5" s="409" t="s">
        <v>80</v>
      </c>
      <c r="H5" s="412" t="s">
        <v>67</v>
      </c>
      <c r="I5" s="409" t="s">
        <v>81</v>
      </c>
      <c r="J5" s="412" t="s">
        <v>68</v>
      </c>
      <c r="K5" s="412" t="s">
        <v>83</v>
      </c>
      <c r="L5" s="409" t="s">
        <v>82</v>
      </c>
      <c r="M5" s="412" t="s">
        <v>69</v>
      </c>
      <c r="N5" s="409" t="s">
        <v>90</v>
      </c>
      <c r="O5" s="409" t="s">
        <v>70</v>
      </c>
      <c r="P5" s="409" t="s">
        <v>443</v>
      </c>
      <c r="Q5" s="412" t="s">
        <v>71</v>
      </c>
      <c r="R5" s="412" t="s">
        <v>84</v>
      </c>
      <c r="S5" s="418" t="s">
        <v>79</v>
      </c>
      <c r="T5" s="424" t="s">
        <v>279</v>
      </c>
      <c r="U5" s="415" t="s">
        <v>91</v>
      </c>
      <c r="V5" s="63"/>
      <c r="W5" s="63"/>
      <c r="X5" s="63"/>
      <c r="Y5" s="63"/>
      <c r="Z5" s="63"/>
      <c r="AA5" s="63"/>
      <c r="AB5" s="63"/>
    </row>
    <row r="6" spans="1:28" ht="18" customHeight="1">
      <c r="A6" s="429"/>
      <c r="B6" s="435"/>
      <c r="C6" s="419"/>
      <c r="D6" s="413"/>
      <c r="E6" s="413"/>
      <c r="F6" s="419"/>
      <c r="G6" s="410"/>
      <c r="H6" s="413"/>
      <c r="I6" s="410"/>
      <c r="J6" s="413"/>
      <c r="K6" s="413"/>
      <c r="L6" s="410"/>
      <c r="M6" s="413"/>
      <c r="N6" s="410"/>
      <c r="O6" s="410"/>
      <c r="P6" s="410"/>
      <c r="Q6" s="413"/>
      <c r="R6" s="413"/>
      <c r="S6" s="419"/>
      <c r="T6" s="425"/>
      <c r="U6" s="416"/>
      <c r="V6" s="63"/>
      <c r="W6" s="63"/>
      <c r="X6" s="63"/>
      <c r="Y6" s="63"/>
      <c r="Z6" s="63"/>
      <c r="AA6" s="63"/>
      <c r="AB6" s="63"/>
    </row>
    <row r="7" spans="1:28" ht="18" customHeight="1">
      <c r="A7" s="429"/>
      <c r="B7" s="435"/>
      <c r="C7" s="419"/>
      <c r="D7" s="413"/>
      <c r="E7" s="413"/>
      <c r="F7" s="419"/>
      <c r="G7" s="410"/>
      <c r="H7" s="413"/>
      <c r="I7" s="410"/>
      <c r="J7" s="413"/>
      <c r="K7" s="413"/>
      <c r="L7" s="410"/>
      <c r="M7" s="413"/>
      <c r="N7" s="410"/>
      <c r="O7" s="410"/>
      <c r="P7" s="410"/>
      <c r="Q7" s="413"/>
      <c r="R7" s="413"/>
      <c r="S7" s="419"/>
      <c r="T7" s="425"/>
      <c r="U7" s="416"/>
      <c r="V7" s="63"/>
      <c r="W7" s="63"/>
      <c r="X7" s="63"/>
      <c r="Y7" s="63"/>
      <c r="Z7" s="63"/>
      <c r="AA7" s="63"/>
      <c r="AB7" s="63"/>
    </row>
    <row r="8" spans="1:28" ht="18" customHeight="1">
      <c r="A8" s="429"/>
      <c r="B8" s="436"/>
      <c r="C8" s="420"/>
      <c r="D8" s="414"/>
      <c r="E8" s="414"/>
      <c r="F8" s="420"/>
      <c r="G8" s="411"/>
      <c r="H8" s="414"/>
      <c r="I8" s="411"/>
      <c r="J8" s="414"/>
      <c r="K8" s="414"/>
      <c r="L8" s="411"/>
      <c r="M8" s="414"/>
      <c r="N8" s="411"/>
      <c r="O8" s="411"/>
      <c r="P8" s="411"/>
      <c r="Q8" s="414"/>
      <c r="R8" s="414"/>
      <c r="S8" s="420"/>
      <c r="T8" s="426"/>
      <c r="U8" s="417"/>
      <c r="V8" s="63"/>
      <c r="W8" s="63"/>
      <c r="X8" s="63"/>
      <c r="Y8" s="63"/>
      <c r="Z8" s="63"/>
      <c r="AA8" s="63"/>
      <c r="AB8" s="63"/>
    </row>
    <row r="9" spans="1:28" ht="18" customHeight="1">
      <c r="A9" s="430"/>
      <c r="B9" s="421" t="s">
        <v>444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3"/>
      <c r="V9" s="63"/>
      <c r="W9" s="63"/>
      <c r="X9" s="63"/>
      <c r="Y9" s="63"/>
      <c r="Z9" s="63"/>
      <c r="AA9" s="63"/>
      <c r="AB9" s="63"/>
    </row>
    <row r="10" spans="1:28" ht="18" customHeight="1">
      <c r="A10" s="217"/>
      <c r="B10" s="406" t="s">
        <v>445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8"/>
      <c r="V10" s="63"/>
      <c r="W10" s="63"/>
      <c r="X10" s="63"/>
      <c r="Y10" s="63"/>
      <c r="Z10" s="63"/>
      <c r="AA10" s="63"/>
      <c r="AB10" s="63"/>
    </row>
    <row r="11" spans="1:28" ht="1.5" customHeight="1">
      <c r="A11" s="130"/>
      <c r="B11" s="218" t="s">
        <v>63</v>
      </c>
      <c r="C11" s="65" t="s">
        <v>64</v>
      </c>
      <c r="D11" s="65" t="s">
        <v>486</v>
      </c>
      <c r="E11" s="65" t="s">
        <v>487</v>
      </c>
      <c r="F11" s="65" t="s">
        <v>488</v>
      </c>
      <c r="G11" s="65" t="s">
        <v>73</v>
      </c>
      <c r="H11" s="66" t="s">
        <v>489</v>
      </c>
      <c r="I11" s="66" t="s">
        <v>490</v>
      </c>
      <c r="J11" s="66" t="s">
        <v>491</v>
      </c>
      <c r="K11" s="66" t="s">
        <v>492</v>
      </c>
      <c r="L11" s="66" t="s">
        <v>493</v>
      </c>
      <c r="M11" s="66" t="s">
        <v>494</v>
      </c>
      <c r="N11" s="66" t="s">
        <v>74</v>
      </c>
      <c r="O11" s="66" t="s">
        <v>86</v>
      </c>
      <c r="P11" s="66" t="s">
        <v>75</v>
      </c>
      <c r="Q11" s="66" t="s">
        <v>88</v>
      </c>
      <c r="R11" s="66" t="s">
        <v>89</v>
      </c>
      <c r="S11" s="67" t="s">
        <v>76</v>
      </c>
      <c r="T11" s="66" t="s">
        <v>87</v>
      </c>
      <c r="U11" s="166"/>
      <c r="V11" s="63"/>
      <c r="W11" s="63"/>
      <c r="X11" s="63"/>
      <c r="Y11" s="63"/>
      <c r="Z11" s="63"/>
      <c r="AA11" s="63"/>
      <c r="AB11" s="63"/>
    </row>
    <row r="12" spans="1:28" ht="18" customHeight="1">
      <c r="A12" s="132">
        <v>1872</v>
      </c>
      <c r="B12" s="219">
        <v>0.0259181</v>
      </c>
      <c r="C12" s="54">
        <v>0.3973638</v>
      </c>
      <c r="D12" s="68">
        <v>0.3731478</v>
      </c>
      <c r="E12" s="68">
        <v>0.0242159</v>
      </c>
      <c r="F12" s="54">
        <v>0.5749448</v>
      </c>
      <c r="G12" s="22">
        <v>0.1877709</v>
      </c>
      <c r="H12" s="68">
        <v>0.0093307</v>
      </c>
      <c r="I12" s="22">
        <v>0.1680489</v>
      </c>
      <c r="J12" s="68">
        <v>0.0134703</v>
      </c>
      <c r="K12" s="68">
        <v>0.087519</v>
      </c>
      <c r="L12" s="22">
        <v>0.106345</v>
      </c>
      <c r="M12" s="68">
        <v>0.0233207</v>
      </c>
      <c r="N12" s="22">
        <v>0.0688263</v>
      </c>
      <c r="O12" s="68">
        <v>0.0142408</v>
      </c>
      <c r="P12" s="22">
        <v>0.0439536</v>
      </c>
      <c r="Q12" s="68">
        <v>0.001421</v>
      </c>
      <c r="R12" s="68">
        <v>0.0357933</v>
      </c>
      <c r="S12" s="54">
        <v>0.0276914</v>
      </c>
      <c r="T12" s="44">
        <v>0.0513897</v>
      </c>
      <c r="U12" s="220">
        <f aca="true" t="shared" si="0" ref="U12:U18">H12+J12+M12</f>
        <v>0.0461217</v>
      </c>
      <c r="V12" s="63"/>
      <c r="W12" s="63"/>
      <c r="X12" s="63"/>
      <c r="Y12" s="63"/>
      <c r="Z12" s="63"/>
      <c r="AA12" s="63"/>
      <c r="AB12" s="63"/>
    </row>
    <row r="13" spans="1:28" ht="18" customHeight="1">
      <c r="A13" s="132">
        <v>1882</v>
      </c>
      <c r="B13" s="219">
        <v>0.0717154</v>
      </c>
      <c r="C13" s="54">
        <v>0.390084</v>
      </c>
      <c r="D13" s="68">
        <v>0.3842374</v>
      </c>
      <c r="E13" s="68">
        <v>0.0058466</v>
      </c>
      <c r="F13" s="54">
        <v>0.5866233</v>
      </c>
      <c r="G13" s="22">
        <v>0.2081868</v>
      </c>
      <c r="H13" s="68">
        <v>0.0174169</v>
      </c>
      <c r="I13" s="22">
        <v>0.1716855</v>
      </c>
      <c r="J13" s="68">
        <v>0.0132669</v>
      </c>
      <c r="K13" s="68">
        <v>0.0619984</v>
      </c>
      <c r="L13" s="22">
        <v>0.1108865</v>
      </c>
      <c r="M13" s="68">
        <v>0.0199857</v>
      </c>
      <c r="N13" s="22">
        <v>0.0560834</v>
      </c>
      <c r="O13" s="68">
        <v>0.0112937</v>
      </c>
      <c r="P13" s="22">
        <v>0.0397811</v>
      </c>
      <c r="Q13" s="68">
        <v>0.002001</v>
      </c>
      <c r="R13" s="68">
        <v>0.0278971</v>
      </c>
      <c r="S13" s="54">
        <v>0.0232927</v>
      </c>
      <c r="T13" s="44">
        <v>0.0505356</v>
      </c>
      <c r="U13" s="220">
        <f t="shared" si="0"/>
        <v>0.05066949999999999</v>
      </c>
      <c r="V13" s="63"/>
      <c r="W13" s="63"/>
      <c r="X13" s="63"/>
      <c r="Y13" s="63"/>
      <c r="Z13" s="63"/>
      <c r="AA13" s="63"/>
      <c r="AB13" s="63"/>
    </row>
    <row r="14" spans="1:28" ht="18" customHeight="1">
      <c r="A14" s="132">
        <v>1912</v>
      </c>
      <c r="B14" s="219">
        <v>0.0639521</v>
      </c>
      <c r="C14" s="54">
        <v>0.3526547</v>
      </c>
      <c r="D14" s="68">
        <v>0.2315121</v>
      </c>
      <c r="E14" s="68">
        <v>0.1211426</v>
      </c>
      <c r="F14" s="54">
        <v>0.6282851</v>
      </c>
      <c r="G14" s="22">
        <v>0.2334074</v>
      </c>
      <c r="H14" s="68">
        <v>0.0536873</v>
      </c>
      <c r="I14" s="22">
        <v>0.1659248</v>
      </c>
      <c r="J14" s="68">
        <v>0.0351131</v>
      </c>
      <c r="K14" s="68">
        <v>0.0519709</v>
      </c>
      <c r="L14" s="22">
        <v>0.1172638</v>
      </c>
      <c r="M14" s="68">
        <v>0.0731734</v>
      </c>
      <c r="N14" s="22">
        <v>0.0833556</v>
      </c>
      <c r="O14" s="68">
        <v>0.0125384</v>
      </c>
      <c r="P14" s="22">
        <v>0.0283336</v>
      </c>
      <c r="Q14" s="68">
        <v>0.0012153</v>
      </c>
      <c r="R14" s="68">
        <v>0.0136173</v>
      </c>
      <c r="S14" s="54">
        <v>0.0190603</v>
      </c>
      <c r="T14" s="44">
        <v>0.0889828</v>
      </c>
      <c r="U14" s="220">
        <f t="shared" si="0"/>
        <v>0.1619738</v>
      </c>
      <c r="V14" s="63"/>
      <c r="W14" s="63"/>
      <c r="X14" s="63"/>
      <c r="Y14" s="63"/>
      <c r="Z14" s="63"/>
      <c r="AA14" s="63"/>
      <c r="AB14" s="63"/>
    </row>
    <row r="15" spans="1:28" ht="18" customHeight="1">
      <c r="A15" s="132">
        <v>1922</v>
      </c>
      <c r="B15" s="219">
        <v>0.1039378</v>
      </c>
      <c r="C15" s="54">
        <v>0.2736792</v>
      </c>
      <c r="D15" s="68">
        <v>0.1587235</v>
      </c>
      <c r="E15" s="68">
        <v>0.1149557</v>
      </c>
      <c r="F15" s="54">
        <v>0.6861722</v>
      </c>
      <c r="G15" s="22">
        <v>0.2646337</v>
      </c>
      <c r="H15" s="68">
        <v>0.0555548</v>
      </c>
      <c r="I15" s="22">
        <v>0.131289</v>
      </c>
      <c r="J15" s="68">
        <v>0.0163537</v>
      </c>
      <c r="K15" s="68">
        <v>0.0343765</v>
      </c>
      <c r="L15" s="22">
        <v>0.1834551</v>
      </c>
      <c r="M15" s="68">
        <v>0.0295494</v>
      </c>
      <c r="N15" s="22">
        <v>0.0718458</v>
      </c>
      <c r="O15" s="68">
        <v>0.0076445</v>
      </c>
      <c r="P15" s="22">
        <v>0.0349485</v>
      </c>
      <c r="Q15" s="68">
        <v>0.0011642</v>
      </c>
      <c r="R15" s="68">
        <v>0.0142113</v>
      </c>
      <c r="S15" s="54">
        <v>0.0401486</v>
      </c>
      <c r="T15" s="44">
        <v>0.0854632</v>
      </c>
      <c r="U15" s="220">
        <f t="shared" si="0"/>
        <v>0.1014579</v>
      </c>
      <c r="V15" s="63"/>
      <c r="W15" s="63"/>
      <c r="X15" s="63"/>
      <c r="Y15" s="63"/>
      <c r="Z15" s="63"/>
      <c r="AA15" s="63"/>
      <c r="AB15" s="63"/>
    </row>
    <row r="16" spans="1:28" ht="18" customHeight="1">
      <c r="A16" s="132">
        <v>1927</v>
      </c>
      <c r="B16" s="219">
        <v>0.0658374</v>
      </c>
      <c r="C16" s="54">
        <v>0.2271238</v>
      </c>
      <c r="D16" s="68">
        <v>0.1090264</v>
      </c>
      <c r="E16" s="68">
        <v>0.1180974</v>
      </c>
      <c r="F16" s="54">
        <v>0.7132322</v>
      </c>
      <c r="G16" s="22">
        <v>0.3967226</v>
      </c>
      <c r="H16" s="68">
        <v>0.1593365</v>
      </c>
      <c r="I16" s="22">
        <v>0.0969878</v>
      </c>
      <c r="J16" s="68">
        <v>0.0204484</v>
      </c>
      <c r="K16" s="68">
        <v>0.031208</v>
      </c>
      <c r="L16" s="22">
        <v>0.1164585</v>
      </c>
      <c r="M16" s="68">
        <v>0.0286585</v>
      </c>
      <c r="N16" s="22">
        <v>0.0724575</v>
      </c>
      <c r="O16" s="68">
        <v>0.0056247</v>
      </c>
      <c r="P16" s="22">
        <v>0.0306058</v>
      </c>
      <c r="Q16" s="68">
        <v>0.0010088</v>
      </c>
      <c r="R16" s="68">
        <v>0.017527</v>
      </c>
      <c r="S16" s="54">
        <v>0.0596439</v>
      </c>
      <c r="T16" s="44">
        <v>0.0812149</v>
      </c>
      <c r="U16" s="220">
        <f t="shared" si="0"/>
        <v>0.2084434</v>
      </c>
      <c r="V16" s="63"/>
      <c r="W16" s="63"/>
      <c r="X16" s="63"/>
      <c r="Y16" s="63"/>
      <c r="Z16" s="63"/>
      <c r="AA16" s="63"/>
      <c r="AB16" s="63"/>
    </row>
    <row r="17" spans="1:28" ht="18" customHeight="1">
      <c r="A17" s="132">
        <v>1932</v>
      </c>
      <c r="B17" s="219">
        <v>0.0617201</v>
      </c>
      <c r="C17" s="54">
        <v>0.2814943</v>
      </c>
      <c r="D17" s="68">
        <v>0.1571108</v>
      </c>
      <c r="E17" s="68">
        <v>0.1243836</v>
      </c>
      <c r="F17" s="54">
        <v>0.6549489</v>
      </c>
      <c r="G17" s="22">
        <v>0.3092113</v>
      </c>
      <c r="H17" s="68">
        <v>0.0609202</v>
      </c>
      <c r="I17" s="22">
        <v>0.104337</v>
      </c>
      <c r="J17" s="68">
        <v>0.0116075</v>
      </c>
      <c r="K17" s="68">
        <v>0.0227124</v>
      </c>
      <c r="L17" s="22">
        <v>0.1220072</v>
      </c>
      <c r="M17" s="68">
        <v>0.0183296</v>
      </c>
      <c r="N17" s="22">
        <v>0.0941085</v>
      </c>
      <c r="O17" s="68">
        <v>0.0152346</v>
      </c>
      <c r="P17" s="22">
        <v>0.025285</v>
      </c>
      <c r="Q17" s="68">
        <v>0.0016176</v>
      </c>
      <c r="R17" s="68">
        <v>0.0141839</v>
      </c>
      <c r="S17" s="54">
        <v>0.0635567</v>
      </c>
      <c r="T17" s="44">
        <v>0.0621518</v>
      </c>
      <c r="U17" s="220">
        <f t="shared" si="0"/>
        <v>0.0908573</v>
      </c>
      <c r="V17" s="63"/>
      <c r="W17" s="63"/>
      <c r="X17" s="63"/>
      <c r="Y17" s="63"/>
      <c r="Z17" s="63"/>
      <c r="AA17" s="63"/>
      <c r="AB17" s="63"/>
    </row>
    <row r="18" spans="1:28" ht="18" customHeight="1">
      <c r="A18" s="132">
        <v>1937</v>
      </c>
      <c r="B18" s="219">
        <v>0.0584274</v>
      </c>
      <c r="C18" s="54">
        <v>0.2511109</v>
      </c>
      <c r="D18" s="68">
        <v>0.1426987</v>
      </c>
      <c r="E18" s="68">
        <v>0.1084122</v>
      </c>
      <c r="F18" s="54">
        <v>0.6745737</v>
      </c>
      <c r="G18" s="22">
        <v>0.3736986</v>
      </c>
      <c r="H18" s="68">
        <v>0.1439214</v>
      </c>
      <c r="I18" s="22">
        <v>0.1016724</v>
      </c>
      <c r="J18" s="68">
        <v>0.012345</v>
      </c>
      <c r="K18" s="68">
        <v>0.0242136</v>
      </c>
      <c r="L18" s="22">
        <v>0.097352</v>
      </c>
      <c r="M18" s="68">
        <v>0.0218341</v>
      </c>
      <c r="N18" s="22">
        <v>0.0737484</v>
      </c>
      <c r="O18" s="68">
        <v>0.0090867</v>
      </c>
      <c r="P18" s="22">
        <v>0.0281023</v>
      </c>
      <c r="Q18" s="68">
        <v>0.0039529</v>
      </c>
      <c r="R18" s="68">
        <v>0.016344</v>
      </c>
      <c r="S18" s="54">
        <v>0.0743154</v>
      </c>
      <c r="T18" s="44">
        <v>0.0436338</v>
      </c>
      <c r="U18" s="220">
        <f t="shared" si="0"/>
        <v>0.1781005</v>
      </c>
      <c r="V18" s="63"/>
      <c r="W18" s="63"/>
      <c r="X18" s="63"/>
      <c r="Y18" s="63"/>
      <c r="Z18" s="63"/>
      <c r="AA18" s="63"/>
      <c r="AB18" s="63"/>
    </row>
    <row r="19" spans="1:28" ht="18" customHeight="1">
      <c r="A19" s="217"/>
      <c r="B19" s="406" t="s">
        <v>347</v>
      </c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8"/>
      <c r="V19" s="63"/>
      <c r="W19" s="63"/>
      <c r="X19" s="63"/>
      <c r="Y19" s="63"/>
      <c r="Z19" s="63"/>
      <c r="AA19" s="63"/>
      <c r="AB19" s="63"/>
    </row>
    <row r="20" spans="1:21" ht="1.5" customHeight="1">
      <c r="A20" s="130"/>
      <c r="B20" s="218" t="s">
        <v>162</v>
      </c>
      <c r="C20" s="65" t="s">
        <v>163</v>
      </c>
      <c r="D20" s="65" t="s">
        <v>520</v>
      </c>
      <c r="E20" s="65" t="s">
        <v>521</v>
      </c>
      <c r="F20" s="65" t="s">
        <v>522</v>
      </c>
      <c r="G20" s="65" t="s">
        <v>164</v>
      </c>
      <c r="H20" s="66" t="s">
        <v>523</v>
      </c>
      <c r="I20" s="66" t="s">
        <v>524</v>
      </c>
      <c r="J20" s="66" t="s">
        <v>525</v>
      </c>
      <c r="K20" s="66" t="s">
        <v>526</v>
      </c>
      <c r="L20" s="66" t="s">
        <v>527</v>
      </c>
      <c r="M20" s="66" t="s">
        <v>528</v>
      </c>
      <c r="N20" s="66" t="s">
        <v>529</v>
      </c>
      <c r="O20" s="66" t="s">
        <v>165</v>
      </c>
      <c r="P20" s="66" t="s">
        <v>530</v>
      </c>
      <c r="Q20" s="66" t="s">
        <v>167</v>
      </c>
      <c r="R20" s="66" t="s">
        <v>531</v>
      </c>
      <c r="S20" s="67" t="s">
        <v>168</v>
      </c>
      <c r="T20" s="66" t="s">
        <v>166</v>
      </c>
      <c r="U20" s="166"/>
    </row>
    <row r="21" spans="1:21" ht="15" customHeight="1">
      <c r="A21" s="132">
        <v>1872</v>
      </c>
      <c r="B21" s="219">
        <v>0.0030315</v>
      </c>
      <c r="C21" s="54">
        <v>0.3435356</v>
      </c>
      <c r="D21" s="68">
        <v>0.3256325</v>
      </c>
      <c r="E21" s="68">
        <v>0.0179031</v>
      </c>
      <c r="F21" s="54">
        <v>0.6224567</v>
      </c>
      <c r="G21" s="22">
        <v>0.1994737</v>
      </c>
      <c r="H21" s="68">
        <v>0.0095219</v>
      </c>
      <c r="I21" s="22">
        <v>0.1930883</v>
      </c>
      <c r="J21" s="68">
        <v>0.0168854</v>
      </c>
      <c r="K21" s="68">
        <v>0.0933273</v>
      </c>
      <c r="L21" s="22">
        <v>0.1073468</v>
      </c>
      <c r="M21" s="68">
        <v>0.0274857</v>
      </c>
      <c r="N21" s="22">
        <v>0.0810293</v>
      </c>
      <c r="O21" s="68">
        <v>0.018601</v>
      </c>
      <c r="P21" s="22">
        <v>0.0415187</v>
      </c>
      <c r="Q21" s="68">
        <v>0.0009654</v>
      </c>
      <c r="R21" s="68">
        <v>0.0353766</v>
      </c>
      <c r="S21" s="54">
        <v>0.0340077</v>
      </c>
      <c r="T21" s="44">
        <v>0.0606177</v>
      </c>
      <c r="U21" s="220">
        <f aca="true" t="shared" si="1" ref="U21:U27">H21+J21+M21</f>
        <v>0.053892999999999996</v>
      </c>
    </row>
    <row r="22" spans="1:21" ht="15" customHeight="1">
      <c r="A22" s="132">
        <v>1882</v>
      </c>
      <c r="B22" s="219">
        <v>0.0046014</v>
      </c>
      <c r="C22" s="54">
        <v>0.3118523</v>
      </c>
      <c r="D22" s="68">
        <v>0.3074971</v>
      </c>
      <c r="E22" s="68">
        <v>0.0043553</v>
      </c>
      <c r="F22" s="54">
        <v>0.65858</v>
      </c>
      <c r="G22" s="22">
        <v>0.2362932</v>
      </c>
      <c r="H22" s="68">
        <v>0.0198359</v>
      </c>
      <c r="I22" s="22">
        <v>0.1880899</v>
      </c>
      <c r="J22" s="68">
        <v>0.0172119</v>
      </c>
      <c r="K22" s="68">
        <v>0.0723035</v>
      </c>
      <c r="L22" s="22">
        <v>0.1209558</v>
      </c>
      <c r="M22" s="68">
        <v>0.0263389</v>
      </c>
      <c r="N22" s="22">
        <v>0.0651952</v>
      </c>
      <c r="O22" s="68">
        <v>0.014229</v>
      </c>
      <c r="P22" s="22">
        <v>0.0480459</v>
      </c>
      <c r="Q22" s="68">
        <v>0.0004917</v>
      </c>
      <c r="R22" s="68">
        <v>0.0326906</v>
      </c>
      <c r="S22" s="54">
        <v>0.0295676</v>
      </c>
      <c r="T22" s="44">
        <v>0.0484712</v>
      </c>
      <c r="U22" s="220">
        <f>H22+J22+M22</f>
        <v>0.06338669999999999</v>
      </c>
    </row>
    <row r="23" spans="1:21" ht="18" customHeight="1">
      <c r="A23" s="132">
        <v>1912</v>
      </c>
      <c r="B23" s="219">
        <v>0.060505</v>
      </c>
      <c r="C23" s="54">
        <v>0.2960574</v>
      </c>
      <c r="D23" s="68">
        <v>0.2176974</v>
      </c>
      <c r="E23" s="68">
        <v>0.07836</v>
      </c>
      <c r="F23" s="54">
        <v>0.6747078</v>
      </c>
      <c r="G23" s="22">
        <v>0.2657047</v>
      </c>
      <c r="H23" s="68">
        <v>0.0599123</v>
      </c>
      <c r="I23" s="22">
        <v>0.1681935</v>
      </c>
      <c r="J23" s="68">
        <v>0.0493233</v>
      </c>
      <c r="K23" s="68">
        <v>0.0501476</v>
      </c>
      <c r="L23" s="22">
        <v>0.134487</v>
      </c>
      <c r="M23" s="68">
        <v>0.0944115</v>
      </c>
      <c r="N23" s="22">
        <v>0.0802354</v>
      </c>
      <c r="O23" s="68">
        <v>0.0161226</v>
      </c>
      <c r="P23" s="22">
        <v>0.0260872</v>
      </c>
      <c r="Q23" s="68">
        <v>0.0012088</v>
      </c>
      <c r="R23" s="68">
        <v>0.0169412</v>
      </c>
      <c r="S23" s="54">
        <v>0.0292347</v>
      </c>
      <c r="T23" s="44">
        <v>0.0389466</v>
      </c>
      <c r="U23" s="220">
        <f t="shared" si="1"/>
        <v>0.2036471</v>
      </c>
    </row>
    <row r="24" spans="1:21" ht="18" customHeight="1">
      <c r="A24" s="132">
        <v>1922</v>
      </c>
      <c r="B24" s="219">
        <v>0.099145</v>
      </c>
      <c r="C24" s="54">
        <v>0.1790671</v>
      </c>
      <c r="D24" s="68">
        <v>0.1232229</v>
      </c>
      <c r="E24" s="68">
        <v>0.0558442</v>
      </c>
      <c r="F24" s="54">
        <v>0.7736762</v>
      </c>
      <c r="G24" s="22">
        <v>0.2958554</v>
      </c>
      <c r="H24" s="68">
        <v>0.0650218</v>
      </c>
      <c r="I24" s="22">
        <v>0.1429966</v>
      </c>
      <c r="J24" s="68">
        <v>0.0199373</v>
      </c>
      <c r="K24" s="68">
        <v>0.0406787</v>
      </c>
      <c r="L24" s="22">
        <v>0.2175028</v>
      </c>
      <c r="M24" s="68">
        <v>0.039919</v>
      </c>
      <c r="N24" s="22">
        <v>0.0931655</v>
      </c>
      <c r="O24" s="68">
        <v>0.009384</v>
      </c>
      <c r="P24" s="22">
        <v>0.0241559</v>
      </c>
      <c r="Q24" s="68">
        <v>0.000639</v>
      </c>
      <c r="R24" s="68">
        <v>0.015541</v>
      </c>
      <c r="S24" s="54">
        <v>0.0472567</v>
      </c>
      <c r="T24" s="44">
        <v>0.0206116</v>
      </c>
      <c r="U24" s="220">
        <f t="shared" si="1"/>
        <v>0.12487810000000002</v>
      </c>
    </row>
    <row r="25" spans="1:21" ht="18" customHeight="1">
      <c r="A25" s="132">
        <v>1927</v>
      </c>
      <c r="B25" s="219">
        <v>0.0555144</v>
      </c>
      <c r="C25" s="54">
        <v>0.1515325</v>
      </c>
      <c r="D25" s="68">
        <v>0.0782249</v>
      </c>
      <c r="E25" s="68">
        <v>0.0733075</v>
      </c>
      <c r="F25" s="54">
        <v>0.7805477</v>
      </c>
      <c r="G25" s="22">
        <v>0.4387696</v>
      </c>
      <c r="H25" s="68">
        <v>0.181884</v>
      </c>
      <c r="I25" s="22">
        <v>0.0954202</v>
      </c>
      <c r="J25" s="68">
        <v>0.0181481</v>
      </c>
      <c r="K25" s="68">
        <v>0.0338761</v>
      </c>
      <c r="L25" s="22">
        <v>0.1221728</v>
      </c>
      <c r="M25" s="68">
        <v>0.0285204</v>
      </c>
      <c r="N25" s="22">
        <v>0.0900871</v>
      </c>
      <c r="O25" s="68">
        <v>0.0064371</v>
      </c>
      <c r="P25" s="22">
        <v>0.034098</v>
      </c>
      <c r="Q25" s="68">
        <v>0.0011126</v>
      </c>
      <c r="R25" s="68">
        <v>0.017621</v>
      </c>
      <c r="S25" s="54">
        <v>0.0679198</v>
      </c>
      <c r="T25" s="44">
        <v>0.0096745</v>
      </c>
      <c r="U25" s="220">
        <f t="shared" si="1"/>
        <v>0.2285525</v>
      </c>
    </row>
    <row r="26" spans="1:21" ht="18" customHeight="1">
      <c r="A26" s="132">
        <v>1932</v>
      </c>
      <c r="B26" s="219">
        <v>0.0640759</v>
      </c>
      <c r="C26" s="54">
        <v>0.2021966</v>
      </c>
      <c r="D26" s="68">
        <v>0.1087591</v>
      </c>
      <c r="E26" s="68">
        <v>0.0934375</v>
      </c>
      <c r="F26" s="54">
        <v>0.712533</v>
      </c>
      <c r="G26" s="22">
        <v>0.3219952</v>
      </c>
      <c r="H26" s="68">
        <v>0.0649588</v>
      </c>
      <c r="I26" s="22">
        <v>0.1151294</v>
      </c>
      <c r="J26" s="68">
        <v>0.0136564</v>
      </c>
      <c r="K26" s="68">
        <v>0.0266752</v>
      </c>
      <c r="L26" s="22">
        <v>0.1388153</v>
      </c>
      <c r="M26" s="68">
        <v>0.0210701</v>
      </c>
      <c r="N26" s="22">
        <v>0.1141689</v>
      </c>
      <c r="O26" s="68">
        <v>0.0196332</v>
      </c>
      <c r="P26" s="22">
        <v>0.0224243</v>
      </c>
      <c r="Q26" s="68">
        <v>0.0019921</v>
      </c>
      <c r="R26" s="68">
        <v>0.0158402</v>
      </c>
      <c r="S26" s="54">
        <v>0.0852704</v>
      </c>
      <c r="T26" s="44">
        <v>0.0206606</v>
      </c>
      <c r="U26" s="220">
        <f t="shared" si="1"/>
        <v>0.0996853</v>
      </c>
    </row>
    <row r="27" spans="1:21" ht="18" customHeight="1">
      <c r="A27" s="132">
        <v>1937</v>
      </c>
      <c r="B27" s="219">
        <v>0.0542368</v>
      </c>
      <c r="C27" s="54">
        <v>0.1809495</v>
      </c>
      <c r="D27" s="68">
        <v>0.1180748</v>
      </c>
      <c r="E27" s="68">
        <v>0.0628747</v>
      </c>
      <c r="F27" s="54">
        <v>0.732989</v>
      </c>
      <c r="G27" s="22">
        <v>0.381303</v>
      </c>
      <c r="H27" s="68">
        <v>0.1514655</v>
      </c>
      <c r="I27" s="22">
        <v>0.1021132</v>
      </c>
      <c r="J27" s="68">
        <v>0.0117039</v>
      </c>
      <c r="K27" s="68">
        <v>0.0262855</v>
      </c>
      <c r="L27" s="22">
        <v>0.0990416</v>
      </c>
      <c r="M27" s="68">
        <v>0.0202078</v>
      </c>
      <c r="N27" s="22">
        <v>0.0843256</v>
      </c>
      <c r="O27" s="68">
        <v>0.0100859</v>
      </c>
      <c r="P27" s="22">
        <v>0.0662055</v>
      </c>
      <c r="Q27" s="68">
        <v>0.0046018</v>
      </c>
      <c r="R27" s="68">
        <v>0.0155942</v>
      </c>
      <c r="S27" s="54">
        <v>0.0860615</v>
      </c>
      <c r="T27" s="44">
        <v>0.0151543</v>
      </c>
      <c r="U27" s="220">
        <f t="shared" si="1"/>
        <v>0.1833772</v>
      </c>
    </row>
    <row r="28" spans="1:21" ht="15" customHeight="1">
      <c r="A28" s="217"/>
      <c r="B28" s="406" t="s">
        <v>283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8"/>
    </row>
    <row r="29" spans="1:21" ht="1.5" customHeight="1">
      <c r="A29" s="130"/>
      <c r="B29" s="218" t="s">
        <v>284</v>
      </c>
      <c r="C29" s="65" t="s">
        <v>285</v>
      </c>
      <c r="D29" s="65" t="s">
        <v>532</v>
      </c>
      <c r="E29" s="65" t="s">
        <v>533</v>
      </c>
      <c r="F29" s="65" t="s">
        <v>534</v>
      </c>
      <c r="G29" s="65" t="s">
        <v>286</v>
      </c>
      <c r="H29" s="66" t="s">
        <v>535</v>
      </c>
      <c r="I29" s="66" t="s">
        <v>536</v>
      </c>
      <c r="J29" s="66" t="s">
        <v>537</v>
      </c>
      <c r="K29" s="66" t="s">
        <v>538</v>
      </c>
      <c r="L29" s="66" t="s">
        <v>539</v>
      </c>
      <c r="M29" s="66" t="s">
        <v>540</v>
      </c>
      <c r="N29" s="66" t="s">
        <v>541</v>
      </c>
      <c r="O29" s="66" t="s">
        <v>287</v>
      </c>
      <c r="P29" s="66" t="s">
        <v>542</v>
      </c>
      <c r="Q29" s="66" t="s">
        <v>288</v>
      </c>
      <c r="R29" s="66" t="s">
        <v>543</v>
      </c>
      <c r="S29" s="67" t="s">
        <v>289</v>
      </c>
      <c r="T29" s="66" t="s">
        <v>290</v>
      </c>
      <c r="U29" s="166"/>
    </row>
    <row r="30" spans="1:21" ht="15" customHeight="1">
      <c r="A30" s="132">
        <v>1872</v>
      </c>
      <c r="B30" s="219">
        <v>0.008357</v>
      </c>
      <c r="C30" s="54">
        <v>0.4324229</v>
      </c>
      <c r="D30" s="68">
        <v>0.4147864</v>
      </c>
      <c r="E30" s="68">
        <v>0.0176365</v>
      </c>
      <c r="F30" s="54">
        <v>0.5547393</v>
      </c>
      <c r="G30" s="22">
        <v>0.1429732</v>
      </c>
      <c r="H30" s="68">
        <v>0.0110329</v>
      </c>
      <c r="I30" s="22">
        <v>0.1795978</v>
      </c>
      <c r="J30" s="68">
        <v>0.0239161</v>
      </c>
      <c r="K30" s="68">
        <v>0.0787616</v>
      </c>
      <c r="L30" s="22">
        <v>0.147671</v>
      </c>
      <c r="M30" s="68">
        <v>0.0505453</v>
      </c>
      <c r="N30" s="22">
        <v>0.0496226</v>
      </c>
      <c r="O30" s="68">
        <v>0.0082957</v>
      </c>
      <c r="P30" s="22">
        <v>0.0348747</v>
      </c>
      <c r="Q30" s="68">
        <v>0.001324</v>
      </c>
      <c r="R30" s="68">
        <v>0.0199113</v>
      </c>
      <c r="S30" s="54">
        <v>0.0128378</v>
      </c>
      <c r="T30" s="22">
        <v>0.0216173</v>
      </c>
      <c r="U30" s="220">
        <f aca="true" t="shared" si="2" ref="U30:U36">H30+J30+M30</f>
        <v>0.0854943</v>
      </c>
    </row>
    <row r="31" spans="1:21" ht="15" customHeight="1">
      <c r="A31" s="132">
        <v>1882</v>
      </c>
      <c r="B31" s="219">
        <v>0.0554505</v>
      </c>
      <c r="C31" s="54">
        <v>0.4327068</v>
      </c>
      <c r="D31" s="68">
        <v>0.4290597</v>
      </c>
      <c r="E31" s="68">
        <v>0.0036472</v>
      </c>
      <c r="F31" s="54">
        <v>0.549402</v>
      </c>
      <c r="G31" s="22">
        <v>0.1759678</v>
      </c>
      <c r="H31" s="68">
        <v>0.0269627</v>
      </c>
      <c r="I31" s="22">
        <v>0.1494321</v>
      </c>
      <c r="J31" s="68">
        <v>0.016338</v>
      </c>
      <c r="K31" s="68">
        <v>0.0461802</v>
      </c>
      <c r="L31" s="22">
        <v>0.1522436</v>
      </c>
      <c r="M31" s="68">
        <v>0.0209499</v>
      </c>
      <c r="N31" s="22">
        <v>0.0450392</v>
      </c>
      <c r="O31" s="68">
        <v>0.0065383</v>
      </c>
      <c r="P31" s="22">
        <v>0.0267193</v>
      </c>
      <c r="Q31" s="68">
        <v>0.0032697</v>
      </c>
      <c r="R31" s="68">
        <v>0.0118235</v>
      </c>
      <c r="S31" s="54">
        <v>0.0178912</v>
      </c>
      <c r="T31" s="22">
        <v>0.0510945</v>
      </c>
      <c r="U31" s="220">
        <f>H31+J31+M31</f>
        <v>0.06425059999999999</v>
      </c>
    </row>
    <row r="32" spans="1:21" ht="15">
      <c r="A32" s="132">
        <v>1912</v>
      </c>
      <c r="B32" s="219">
        <v>0.0541878</v>
      </c>
      <c r="C32" s="54">
        <v>0.4524728</v>
      </c>
      <c r="D32" s="68">
        <v>0.2878235</v>
      </c>
      <c r="E32" s="68">
        <v>0.1646493</v>
      </c>
      <c r="F32" s="54">
        <v>0.5363145</v>
      </c>
      <c r="G32" s="22">
        <v>0.1749514</v>
      </c>
      <c r="H32" s="68">
        <v>0.0381509</v>
      </c>
      <c r="I32" s="22">
        <v>0.1645237</v>
      </c>
      <c r="J32" s="68">
        <v>0.023127</v>
      </c>
      <c r="K32" s="68">
        <v>0.0457623</v>
      </c>
      <c r="L32" s="22">
        <v>0.1031258</v>
      </c>
      <c r="M32" s="68">
        <v>0.0527976</v>
      </c>
      <c r="N32" s="22">
        <v>0.0572038</v>
      </c>
      <c r="O32" s="68">
        <v>0.0064219</v>
      </c>
      <c r="P32" s="22">
        <v>0.0365098</v>
      </c>
      <c r="Q32" s="68">
        <v>0.003845</v>
      </c>
      <c r="R32" s="68">
        <v>0.0125626</v>
      </c>
      <c r="S32" s="54">
        <v>0.0112127</v>
      </c>
      <c r="T32" s="22">
        <v>0.1137132</v>
      </c>
      <c r="U32" s="220">
        <f t="shared" si="2"/>
        <v>0.1140755</v>
      </c>
    </row>
    <row r="33" spans="1:21" ht="15">
      <c r="A33" s="132">
        <v>1922</v>
      </c>
      <c r="B33" s="219">
        <v>0.0714713</v>
      </c>
      <c r="C33" s="54">
        <v>0.333247</v>
      </c>
      <c r="D33" s="68">
        <v>0.1802262</v>
      </c>
      <c r="E33" s="68">
        <v>0.1530208</v>
      </c>
      <c r="F33" s="54">
        <v>0.6268161</v>
      </c>
      <c r="G33" s="22">
        <v>0.2412541</v>
      </c>
      <c r="H33" s="68">
        <v>0.0631537</v>
      </c>
      <c r="I33" s="22">
        <v>0.1054057</v>
      </c>
      <c r="J33" s="68">
        <v>0.0161954</v>
      </c>
      <c r="K33" s="68">
        <v>0.0273047</v>
      </c>
      <c r="L33" s="22">
        <v>0.1145368</v>
      </c>
      <c r="M33" s="68">
        <v>0.0257489</v>
      </c>
      <c r="N33" s="22">
        <v>0.1188732</v>
      </c>
      <c r="O33" s="68">
        <v>0.0536641</v>
      </c>
      <c r="P33" s="22">
        <v>0.0467463</v>
      </c>
      <c r="Q33" s="68">
        <v>0.0025087</v>
      </c>
      <c r="R33" s="68">
        <v>0.0074027</v>
      </c>
      <c r="S33" s="54">
        <v>0.0399369</v>
      </c>
      <c r="T33" s="22">
        <v>0.126445</v>
      </c>
      <c r="U33" s="220">
        <f t="shared" si="2"/>
        <v>0.105098</v>
      </c>
    </row>
    <row r="34" spans="1:21" ht="15">
      <c r="A34" s="132">
        <v>1927</v>
      </c>
      <c r="B34" s="219">
        <v>0.06521</v>
      </c>
      <c r="C34" s="54">
        <v>0.3310181</v>
      </c>
      <c r="D34" s="68">
        <v>0.1609336</v>
      </c>
      <c r="E34" s="68">
        <v>0.1700846</v>
      </c>
      <c r="F34" s="54">
        <v>0.6245235</v>
      </c>
      <c r="G34" s="22">
        <v>0.335376</v>
      </c>
      <c r="H34" s="68">
        <v>0.1003909</v>
      </c>
      <c r="I34" s="22">
        <v>0.0784539</v>
      </c>
      <c r="J34" s="68">
        <v>0.0185431</v>
      </c>
      <c r="K34" s="68">
        <v>0.0235228</v>
      </c>
      <c r="L34" s="22">
        <v>0.0863173</v>
      </c>
      <c r="M34" s="68">
        <v>0.0340502</v>
      </c>
      <c r="N34" s="22">
        <v>0.0689963</v>
      </c>
      <c r="O34" s="68">
        <v>0.0056776</v>
      </c>
      <c r="P34" s="22">
        <v>0.05538</v>
      </c>
      <c r="Q34" s="68">
        <v>0.0005265</v>
      </c>
      <c r="R34" s="68">
        <v>0.0111282</v>
      </c>
      <c r="S34" s="54">
        <v>0.0444583</v>
      </c>
      <c r="T34" s="22">
        <v>0.1232655</v>
      </c>
      <c r="U34" s="220">
        <f t="shared" si="2"/>
        <v>0.15298420000000001</v>
      </c>
    </row>
    <row r="35" spans="1:21" ht="15">
      <c r="A35" s="132">
        <v>1932</v>
      </c>
      <c r="B35" s="219">
        <v>0.0487405</v>
      </c>
      <c r="C35" s="54">
        <v>0.3947381</v>
      </c>
      <c r="D35" s="68">
        <v>0.2013274</v>
      </c>
      <c r="E35" s="68">
        <v>0.1934107</v>
      </c>
      <c r="F35" s="54">
        <v>0.5692274</v>
      </c>
      <c r="G35" s="22">
        <v>0.2912277</v>
      </c>
      <c r="H35" s="68">
        <v>0.0818976</v>
      </c>
      <c r="I35" s="22">
        <v>0.0813747</v>
      </c>
      <c r="J35" s="68">
        <v>0.0087291</v>
      </c>
      <c r="K35" s="68">
        <v>0.0107307</v>
      </c>
      <c r="L35" s="22">
        <v>0.111874</v>
      </c>
      <c r="M35" s="68">
        <v>0.0269096</v>
      </c>
      <c r="N35" s="22">
        <v>0.0542873</v>
      </c>
      <c r="O35" s="68">
        <v>0.0044156</v>
      </c>
      <c r="P35" s="22">
        <v>0.0304637</v>
      </c>
      <c r="Q35" s="68">
        <v>0.0006759</v>
      </c>
      <c r="R35" s="68">
        <v>0.0149417</v>
      </c>
      <c r="S35" s="54">
        <v>0.0360345</v>
      </c>
      <c r="T35" s="22">
        <v>0.0815986</v>
      </c>
      <c r="U35" s="220">
        <f t="shared" si="2"/>
        <v>0.11753630000000001</v>
      </c>
    </row>
    <row r="36" spans="1:21" ht="15.75" thickBot="1">
      <c r="A36" s="132">
        <v>1937</v>
      </c>
      <c r="B36" s="219">
        <v>0.0753338</v>
      </c>
      <c r="C36" s="54">
        <v>0.4300634</v>
      </c>
      <c r="D36" s="68">
        <v>0.2347088</v>
      </c>
      <c r="E36" s="68">
        <v>0.1953546</v>
      </c>
      <c r="F36" s="54">
        <v>0.5279222</v>
      </c>
      <c r="G36" s="22">
        <v>0.281503</v>
      </c>
      <c r="H36" s="68">
        <v>0.10514</v>
      </c>
      <c r="I36" s="22">
        <v>0.0842311</v>
      </c>
      <c r="J36" s="68">
        <v>0.0111242</v>
      </c>
      <c r="K36" s="68">
        <v>0.0102703</v>
      </c>
      <c r="L36" s="22">
        <v>0.0803924</v>
      </c>
      <c r="M36" s="68">
        <v>0.0253775</v>
      </c>
      <c r="N36" s="22">
        <v>0.0544358</v>
      </c>
      <c r="O36" s="68">
        <v>0.0084217</v>
      </c>
      <c r="P36" s="22">
        <v>0.0273599</v>
      </c>
      <c r="Q36" s="68">
        <v>0.0012469</v>
      </c>
      <c r="R36" s="68">
        <v>0.0136667</v>
      </c>
      <c r="S36" s="54">
        <v>0.0420144</v>
      </c>
      <c r="T36" s="22">
        <v>0.0987334</v>
      </c>
      <c r="U36" s="220">
        <f t="shared" si="2"/>
        <v>0.1416417</v>
      </c>
    </row>
    <row r="37" spans="1:21" ht="15.75" thickBot="1" thickTop="1">
      <c r="A37" s="403" t="s">
        <v>496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5"/>
    </row>
    <row r="38" spans="1:21" ht="15.75" thickBot="1" thickTop="1">
      <c r="A38" s="327" t="s">
        <v>544</v>
      </c>
      <c r="B38" s="328"/>
      <c r="C38" s="328"/>
      <c r="D38" s="328"/>
      <c r="E38" s="328"/>
      <c r="F38" s="328"/>
      <c r="G38" s="328"/>
      <c r="H38" s="328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13"/>
    </row>
    <row r="39" ht="15" thickTop="1"/>
  </sheetData>
  <mergeCells count="29">
    <mergeCell ref="B28:U28"/>
    <mergeCell ref="A3:U3"/>
    <mergeCell ref="C4:U4"/>
    <mergeCell ref="A5:A9"/>
    <mergeCell ref="C5:C8"/>
    <mergeCell ref="F5:F8"/>
    <mergeCell ref="O5:O8"/>
    <mergeCell ref="K5:K8"/>
    <mergeCell ref="Q5:Q8"/>
    <mergeCell ref="G5:G8"/>
    <mergeCell ref="I5:I8"/>
    <mergeCell ref="B19:U19"/>
    <mergeCell ref="H5:H8"/>
    <mergeCell ref="S5:S8"/>
    <mergeCell ref="J5:J8"/>
    <mergeCell ref="L5:L8"/>
    <mergeCell ref="M5:M8"/>
    <mergeCell ref="N5:N8"/>
    <mergeCell ref="B10:U10"/>
    <mergeCell ref="A37:U37"/>
    <mergeCell ref="A38:U38"/>
    <mergeCell ref="T5:T8"/>
    <mergeCell ref="D5:D8"/>
    <mergeCell ref="E5:E8"/>
    <mergeCell ref="U5:U8"/>
    <mergeCell ref="P5:P8"/>
    <mergeCell ref="R5:R8"/>
    <mergeCell ref="B5:B8"/>
    <mergeCell ref="B9:U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6" topLeftCell="BM7" activePane="bottomLeft" state="frozen"/>
      <selection pane="topLeft" activeCell="A1" sqref="A1"/>
      <selection pane="bottomLeft" activeCell="A3" sqref="A3:P34"/>
    </sheetView>
  </sheetViews>
  <sheetFormatPr defaultColWidth="11.5546875" defaultRowHeight="15"/>
  <cols>
    <col min="1" max="2" width="5.3359375" style="0" customWidth="1"/>
    <col min="3" max="4" width="7.3359375" style="0" customWidth="1"/>
    <col min="5" max="5" width="5.3359375" style="0" customWidth="1"/>
    <col min="6" max="7" width="8.77734375" style="0" customWidth="1"/>
    <col min="8" max="8" width="5.3359375" style="0" customWidth="1"/>
    <col min="9" max="9" width="5.77734375" style="0" customWidth="1"/>
    <col min="10" max="11" width="7.3359375" style="0" customWidth="1"/>
    <col min="12" max="12" width="5.3359375" style="0" customWidth="1"/>
    <col min="13" max="16" width="5.77734375" style="0" customWidth="1"/>
    <col min="17" max="29" width="10.77734375" style="0" customWidth="1"/>
    <col min="30" max="16384" width="8.88671875" style="0" customWidth="1"/>
  </cols>
  <sheetData>
    <row r="1" spans="1:16" ht="15">
      <c r="A1" s="1"/>
      <c r="B1" s="81"/>
      <c r="C1" s="81"/>
      <c r="D1" s="8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 thickTop="1">
      <c r="A3" s="346" t="s">
        <v>291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22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49"/>
    </row>
    <row r="5" spans="1:16" ht="64.5" customHeight="1">
      <c r="A5" s="389"/>
      <c r="B5" s="437" t="s">
        <v>170</v>
      </c>
      <c r="C5" s="437" t="s">
        <v>171</v>
      </c>
      <c r="D5" s="437" t="s">
        <v>173</v>
      </c>
      <c r="E5" s="437" t="s">
        <v>174</v>
      </c>
      <c r="F5" s="437" t="s">
        <v>175</v>
      </c>
      <c r="G5" s="437" t="s">
        <v>176</v>
      </c>
      <c r="H5" s="437" t="s">
        <v>174</v>
      </c>
      <c r="I5" s="437" t="s">
        <v>248</v>
      </c>
      <c r="J5" s="437" t="s">
        <v>249</v>
      </c>
      <c r="K5" s="437" t="s">
        <v>250</v>
      </c>
      <c r="L5" s="437" t="s">
        <v>174</v>
      </c>
      <c r="M5" s="79" t="s">
        <v>177</v>
      </c>
      <c r="N5" s="79" t="s">
        <v>251</v>
      </c>
      <c r="O5" s="79" t="s">
        <v>177</v>
      </c>
      <c r="P5" s="232" t="s">
        <v>251</v>
      </c>
    </row>
    <row r="6" spans="1:16" ht="19.5" customHeight="1">
      <c r="A6" s="390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9" t="s">
        <v>178</v>
      </c>
      <c r="N6" s="439"/>
      <c r="O6" s="439" t="s">
        <v>179</v>
      </c>
      <c r="P6" s="440"/>
    </row>
    <row r="7" spans="1:16" ht="18" customHeight="1">
      <c r="A7" s="389" t="s">
        <v>169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2"/>
    </row>
    <row r="8" spans="1:16" ht="4.5" customHeight="1">
      <c r="A8" s="130"/>
      <c r="B8" s="6" t="s">
        <v>60</v>
      </c>
      <c r="C8" s="6" t="s">
        <v>61</v>
      </c>
      <c r="D8" s="6" t="s">
        <v>545</v>
      </c>
      <c r="E8" s="6"/>
      <c r="F8" s="6" t="s">
        <v>172</v>
      </c>
      <c r="G8" s="6" t="s">
        <v>546</v>
      </c>
      <c r="H8" s="6"/>
      <c r="I8" s="233">
        <v>37135</v>
      </c>
      <c r="J8" s="80" t="s">
        <v>292</v>
      </c>
      <c r="K8" s="80" t="s">
        <v>547</v>
      </c>
      <c r="L8" s="80"/>
      <c r="M8" s="80"/>
      <c r="N8" s="80"/>
      <c r="O8" s="80"/>
      <c r="P8" s="234"/>
    </row>
    <row r="9" spans="1:16" ht="15" customHeight="1">
      <c r="A9" s="132">
        <v>1872</v>
      </c>
      <c r="B9" s="30">
        <v>779</v>
      </c>
      <c r="C9" s="30">
        <v>65886.08</v>
      </c>
      <c r="D9" s="30">
        <v>64433.26</v>
      </c>
      <c r="E9" s="22">
        <f aca="true" t="shared" si="0" ref="E9:E15">D9/C9</f>
        <v>0.9779495152845639</v>
      </c>
      <c r="F9" s="30">
        <v>98499.35</v>
      </c>
      <c r="G9" s="30">
        <v>97830.43</v>
      </c>
      <c r="H9" s="22">
        <f aca="true" t="shared" si="1" ref="H9:H15">G9/F9</f>
        <v>0.9932088891957154</v>
      </c>
      <c r="I9" s="235">
        <v>0.19869</v>
      </c>
      <c r="J9" s="236">
        <v>16422.69</v>
      </c>
      <c r="K9" s="236">
        <v>15983.39</v>
      </c>
      <c r="L9" s="22">
        <f aca="true" t="shared" si="2" ref="L9:L15">K9/J9</f>
        <v>0.9732504236516674</v>
      </c>
      <c r="M9" s="124">
        <f>0.5*F9/(0.5*F9+J9)</f>
        <v>0.7499299743507029</v>
      </c>
      <c r="N9" s="54">
        <f>J9/(0.5*F9+J9)</f>
        <v>0.25007002564929703</v>
      </c>
      <c r="O9" s="124">
        <f>0.5*G9/(0.5*G9+K9)</f>
        <v>0.7537175105689868</v>
      </c>
      <c r="P9" s="237">
        <f>K9/(0.5*G9+K9)</f>
        <v>0.2462824894310132</v>
      </c>
    </row>
    <row r="10" spans="1:16" ht="15" customHeight="1">
      <c r="A10" s="132">
        <v>1882</v>
      </c>
      <c r="B10" s="30">
        <v>1145</v>
      </c>
      <c r="C10" s="30">
        <v>75440.72</v>
      </c>
      <c r="D10" s="30">
        <v>73423.93</v>
      </c>
      <c r="E10" s="22">
        <f>D10/C10</f>
        <v>0.973266559492009</v>
      </c>
      <c r="F10" s="30">
        <v>118532.1</v>
      </c>
      <c r="G10" s="30">
        <v>118138.1</v>
      </c>
      <c r="H10" s="22">
        <f>G10/F10</f>
        <v>0.9966760059089479</v>
      </c>
      <c r="I10" s="235">
        <v>0.2260572</v>
      </c>
      <c r="J10" s="236">
        <v>18756.23</v>
      </c>
      <c r="K10" s="236">
        <v>18456.23</v>
      </c>
      <c r="L10" s="22">
        <f>K10/J10</f>
        <v>0.9840053145008352</v>
      </c>
      <c r="M10" s="124">
        <f aca="true" t="shared" si="3" ref="M10:M15">0.5*F10/(0.5*F10+J10)</f>
        <v>0.7596041797291748</v>
      </c>
      <c r="N10" s="54">
        <f aca="true" t="shared" si="4" ref="N10:N15">J10/(0.5*F10+J10)</f>
        <v>0.2403958202708252</v>
      </c>
      <c r="O10" s="124">
        <f aca="true" t="shared" si="5" ref="O10:O15">0.5*G10/(0.5*G10+K10)</f>
        <v>0.7619327527743209</v>
      </c>
      <c r="P10" s="237">
        <f aca="true" t="shared" si="6" ref="P10:P15">K10/(0.5*G10+K10)</f>
        <v>0.23806724722567915</v>
      </c>
    </row>
    <row r="11" spans="1:16" ht="18" customHeight="1">
      <c r="A11" s="132">
        <v>1912</v>
      </c>
      <c r="B11" s="30">
        <v>1188</v>
      </c>
      <c r="C11" s="30">
        <v>116732.8</v>
      </c>
      <c r="D11" s="30">
        <v>115888.7</v>
      </c>
      <c r="E11" s="22">
        <f t="shared" si="0"/>
        <v>0.9927689561117354</v>
      </c>
      <c r="F11" s="30">
        <v>137370</v>
      </c>
      <c r="G11" s="30">
        <v>137369.7</v>
      </c>
      <c r="H11" s="22">
        <f t="shared" si="1"/>
        <v>0.9999978161170562</v>
      </c>
      <c r="I11" s="235">
        <v>0.3412485</v>
      </c>
      <c r="J11" s="236">
        <v>50301.21</v>
      </c>
      <c r="K11" s="236">
        <v>50302.15</v>
      </c>
      <c r="L11" s="22">
        <f t="shared" si="2"/>
        <v>1.000018687423225</v>
      </c>
      <c r="M11" s="124">
        <f t="shared" si="3"/>
        <v>0.5772517672426074</v>
      </c>
      <c r="N11" s="54">
        <f t="shared" si="4"/>
        <v>0.42274823275739265</v>
      </c>
      <c r="O11" s="124">
        <f t="shared" si="5"/>
        <v>0.5772466740064041</v>
      </c>
      <c r="P11" s="237">
        <f t="shared" si="6"/>
        <v>0.42275332599359594</v>
      </c>
    </row>
    <row r="12" spans="1:16" ht="18" customHeight="1">
      <c r="A12" s="132">
        <v>1922</v>
      </c>
      <c r="B12" s="30">
        <v>1126</v>
      </c>
      <c r="C12" s="30">
        <v>111499.4</v>
      </c>
      <c r="D12" s="30">
        <v>111279.2</v>
      </c>
      <c r="E12" s="22">
        <f t="shared" si="0"/>
        <v>0.9980251014803667</v>
      </c>
      <c r="F12" s="30">
        <v>164387.5</v>
      </c>
      <c r="G12" s="30">
        <v>164035</v>
      </c>
      <c r="H12" s="22">
        <f t="shared" si="1"/>
        <v>0.9978556763744202</v>
      </c>
      <c r="I12" s="235">
        <v>0.3817263</v>
      </c>
      <c r="J12" s="236">
        <v>34614.08</v>
      </c>
      <c r="K12" s="236">
        <v>34627.12</v>
      </c>
      <c r="L12" s="22">
        <f t="shared" si="2"/>
        <v>1.0003767253094695</v>
      </c>
      <c r="M12" s="124">
        <f t="shared" si="3"/>
        <v>0.7036664408541791</v>
      </c>
      <c r="N12" s="54">
        <f t="shared" si="4"/>
        <v>0.296333559145821</v>
      </c>
      <c r="O12" s="124">
        <f t="shared" si="5"/>
        <v>0.7031400162304957</v>
      </c>
      <c r="P12" s="237">
        <f t="shared" si="6"/>
        <v>0.29685998376950434</v>
      </c>
    </row>
    <row r="13" spans="1:16" ht="18" customHeight="1">
      <c r="A13" s="132">
        <v>1927</v>
      </c>
      <c r="B13" s="30">
        <v>1113</v>
      </c>
      <c r="C13" s="30">
        <v>187754.1</v>
      </c>
      <c r="D13" s="30">
        <v>187963.5</v>
      </c>
      <c r="E13" s="22">
        <f t="shared" si="0"/>
        <v>1.0011152885609422</v>
      </c>
      <c r="F13" s="30">
        <v>302424.4</v>
      </c>
      <c r="G13" s="30">
        <v>302424.4</v>
      </c>
      <c r="H13" s="22">
        <f t="shared" si="1"/>
        <v>1</v>
      </c>
      <c r="I13" s="235">
        <v>0.3214129</v>
      </c>
      <c r="J13" s="236">
        <v>47669.42</v>
      </c>
      <c r="K13" s="236">
        <v>47669.42</v>
      </c>
      <c r="L13" s="22">
        <f t="shared" si="2"/>
        <v>1</v>
      </c>
      <c r="M13" s="124">
        <f t="shared" si="3"/>
        <v>0.7603125919831104</v>
      </c>
      <c r="N13" s="54">
        <f t="shared" si="4"/>
        <v>0.23968740801688965</v>
      </c>
      <c r="O13" s="124">
        <f t="shared" si="5"/>
        <v>0.7603125919831104</v>
      </c>
      <c r="P13" s="237">
        <f t="shared" si="6"/>
        <v>0.23968740801688965</v>
      </c>
    </row>
    <row r="14" spans="1:16" ht="18" customHeight="1">
      <c r="A14" s="132">
        <v>1932</v>
      </c>
      <c r="B14" s="30">
        <v>1238</v>
      </c>
      <c r="C14" s="30">
        <v>191324.3</v>
      </c>
      <c r="D14" s="30">
        <v>190031.9</v>
      </c>
      <c r="E14" s="22">
        <f t="shared" si="0"/>
        <v>0.9932449772454414</v>
      </c>
      <c r="F14" s="30">
        <v>304627</v>
      </c>
      <c r="G14" s="30">
        <v>304627</v>
      </c>
      <c r="H14" s="22">
        <f t="shared" si="1"/>
        <v>1</v>
      </c>
      <c r="I14" s="235">
        <v>0.3377056</v>
      </c>
      <c r="J14" s="236">
        <v>50758.93</v>
      </c>
      <c r="K14" s="236">
        <v>50758.93</v>
      </c>
      <c r="L14" s="22">
        <f t="shared" si="2"/>
        <v>1</v>
      </c>
      <c r="M14" s="124">
        <f t="shared" si="3"/>
        <v>0.7500451932347488</v>
      </c>
      <c r="N14" s="54">
        <f t="shared" si="4"/>
        <v>0.2499548067652512</v>
      </c>
      <c r="O14" s="124">
        <f t="shared" si="5"/>
        <v>0.7500451932347488</v>
      </c>
      <c r="P14" s="237">
        <f t="shared" si="6"/>
        <v>0.2499548067652512</v>
      </c>
    </row>
    <row r="15" spans="1:16" ht="18" customHeight="1">
      <c r="A15" s="132">
        <v>1937</v>
      </c>
      <c r="B15" s="30">
        <v>1348</v>
      </c>
      <c r="C15" s="30">
        <v>184051.5</v>
      </c>
      <c r="D15" s="30">
        <v>185513.3</v>
      </c>
      <c r="E15" s="22">
        <f t="shared" si="0"/>
        <v>1.0079423422248663</v>
      </c>
      <c r="F15" s="30">
        <v>311820.4</v>
      </c>
      <c r="G15" s="30">
        <v>311820.4</v>
      </c>
      <c r="H15" s="22">
        <f t="shared" si="1"/>
        <v>1</v>
      </c>
      <c r="I15" s="235">
        <v>0.2944649</v>
      </c>
      <c r="J15" s="236">
        <v>44039.16</v>
      </c>
      <c r="K15" s="236">
        <v>43963.95</v>
      </c>
      <c r="L15" s="22">
        <f t="shared" si="2"/>
        <v>0.9982922017586165</v>
      </c>
      <c r="M15" s="124">
        <f t="shared" si="3"/>
        <v>0.7797484323030591</v>
      </c>
      <c r="N15" s="54">
        <f t="shared" si="4"/>
        <v>0.22025156769694088</v>
      </c>
      <c r="O15" s="124">
        <f t="shared" si="5"/>
        <v>0.7800418413286561</v>
      </c>
      <c r="P15" s="237">
        <f t="shared" si="6"/>
        <v>0.2199581586713439</v>
      </c>
    </row>
    <row r="16" spans="1:16" ht="15">
      <c r="A16" s="389" t="s">
        <v>298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2"/>
    </row>
    <row r="17" spans="1:16" ht="1.5" customHeight="1">
      <c r="A17" s="130"/>
      <c r="B17" s="6" t="s">
        <v>60</v>
      </c>
      <c r="C17" s="6" t="s">
        <v>61</v>
      </c>
      <c r="D17" s="6" t="s">
        <v>545</v>
      </c>
      <c r="E17" s="6"/>
      <c r="F17" s="6" t="s">
        <v>172</v>
      </c>
      <c r="G17" s="6" t="s">
        <v>546</v>
      </c>
      <c r="H17" s="6"/>
      <c r="I17" s="233">
        <v>37135</v>
      </c>
      <c r="J17" s="80" t="s">
        <v>292</v>
      </c>
      <c r="K17" s="80" t="s">
        <v>547</v>
      </c>
      <c r="L17" s="80"/>
      <c r="M17" s="80"/>
      <c r="N17" s="80"/>
      <c r="O17" s="80"/>
      <c r="P17" s="234"/>
    </row>
    <row r="18" spans="1:16" ht="15">
      <c r="A18" s="132">
        <v>1872</v>
      </c>
      <c r="B18" s="30">
        <v>493</v>
      </c>
      <c r="C18" s="30">
        <v>72648.46</v>
      </c>
      <c r="D18" s="30">
        <v>71771.46</v>
      </c>
      <c r="E18" s="22">
        <f aca="true" t="shared" si="7" ref="E18:E24">D18/C18</f>
        <v>0.9879281680575197</v>
      </c>
      <c r="F18" s="30">
        <v>109880.1</v>
      </c>
      <c r="G18" s="30">
        <v>108940.7</v>
      </c>
      <c r="H18" s="22">
        <f aca="true" t="shared" si="8" ref="H18:H24">G18/F18</f>
        <v>0.9914506812425543</v>
      </c>
      <c r="I18" s="235">
        <v>0.1905605</v>
      </c>
      <c r="J18" s="236">
        <v>18380.5</v>
      </c>
      <c r="K18" s="236">
        <v>18127.85</v>
      </c>
      <c r="L18" s="22">
        <f aca="true" t="shared" si="9" ref="L18:L24">K18/J18</f>
        <v>0.9862544544490084</v>
      </c>
      <c r="M18" s="124">
        <f>0.5*F18/(0.5*F18+J18)</f>
        <v>0.7493131189004992</v>
      </c>
      <c r="N18" s="54">
        <f>J18/(0.5*F18+J18)</f>
        <v>0.25068688109950077</v>
      </c>
      <c r="O18" s="124">
        <f>0.5*G18/(0.5*G18+K18)</f>
        <v>0.7502989054825051</v>
      </c>
      <c r="P18" s="237">
        <f>K18/(0.5*G18+K18)</f>
        <v>0.24970109451749492</v>
      </c>
    </row>
    <row r="19" spans="1:16" ht="15">
      <c r="A19" s="132">
        <v>1882</v>
      </c>
      <c r="B19" s="30">
        <v>750</v>
      </c>
      <c r="C19" s="30">
        <v>80300.34</v>
      </c>
      <c r="D19" s="30">
        <v>78226.21</v>
      </c>
      <c r="E19" s="22">
        <f>D19/C19</f>
        <v>0.97417034597861</v>
      </c>
      <c r="F19" s="30">
        <v>135386.3</v>
      </c>
      <c r="G19" s="30">
        <v>134937.7</v>
      </c>
      <c r="H19" s="22">
        <f>G19/F19</f>
        <v>0.9966865185029802</v>
      </c>
      <c r="I19" s="235">
        <v>0.2121585</v>
      </c>
      <c r="J19" s="236">
        <v>16687.69</v>
      </c>
      <c r="K19" s="236">
        <v>16438.25</v>
      </c>
      <c r="L19" s="22">
        <f>K19/J19</f>
        <v>0.9850524548334731</v>
      </c>
      <c r="M19" s="124">
        <f aca="true" t="shared" si="10" ref="M19:M24">0.5*F19/(0.5*F19+J19)</f>
        <v>0.8022336587310579</v>
      </c>
      <c r="N19" s="54">
        <f aca="true" t="shared" si="11" ref="N19:N24">J19/(0.5*F19+J19)</f>
        <v>0.19776634126894208</v>
      </c>
      <c r="O19" s="124">
        <f aca="true" t="shared" si="12" ref="O19:O24">0.5*G19/(0.5*G19+K19)</f>
        <v>0.8040898803557744</v>
      </c>
      <c r="P19" s="237">
        <f aca="true" t="shared" si="13" ref="P19:P24">K19/(0.5*G19+K19)</f>
        <v>0.19591011964422556</v>
      </c>
    </row>
    <row r="20" spans="1:16" ht="15">
      <c r="A20" s="132">
        <v>1912</v>
      </c>
      <c r="B20" s="30">
        <v>814</v>
      </c>
      <c r="C20" s="30">
        <v>123704.6</v>
      </c>
      <c r="D20" s="30">
        <v>123573.8</v>
      </c>
      <c r="E20" s="22">
        <f t="shared" si="7"/>
        <v>0.998942642391633</v>
      </c>
      <c r="F20" s="30">
        <v>148023.5</v>
      </c>
      <c r="G20" s="30">
        <v>148023</v>
      </c>
      <c r="H20" s="22">
        <f t="shared" si="8"/>
        <v>0.9999966221579681</v>
      </c>
      <c r="I20" s="235">
        <v>0.3501259</v>
      </c>
      <c r="J20" s="236">
        <v>53745.86</v>
      </c>
      <c r="K20" s="236">
        <v>53747.21</v>
      </c>
      <c r="L20" s="22">
        <f t="shared" si="9"/>
        <v>1.0000251182137563</v>
      </c>
      <c r="M20" s="124">
        <f t="shared" si="10"/>
        <v>0.5793138271763224</v>
      </c>
      <c r="N20" s="54">
        <f t="shared" si="11"/>
        <v>0.4206861728236776</v>
      </c>
      <c r="O20" s="124">
        <f t="shared" si="12"/>
        <v>0.5793068824818285</v>
      </c>
      <c r="P20" s="237">
        <f t="shared" si="13"/>
        <v>0.42069311751817157</v>
      </c>
    </row>
    <row r="21" spans="1:16" ht="15">
      <c r="A21" s="132">
        <v>1922</v>
      </c>
      <c r="B21" s="30">
        <v>767</v>
      </c>
      <c r="C21" s="30">
        <v>110611.3</v>
      </c>
      <c r="D21" s="30">
        <v>110335.4</v>
      </c>
      <c r="E21" s="22">
        <f t="shared" si="7"/>
        <v>0.9975056797994417</v>
      </c>
      <c r="F21" s="30">
        <v>172969.2</v>
      </c>
      <c r="G21" s="30">
        <v>172457.2</v>
      </c>
      <c r="H21" s="22">
        <f t="shared" si="8"/>
        <v>0.9970399354335916</v>
      </c>
      <c r="I21" s="235">
        <v>0.3741562</v>
      </c>
      <c r="J21" s="236">
        <v>30715.44</v>
      </c>
      <c r="K21" s="236">
        <v>30689.35</v>
      </c>
      <c r="L21" s="22">
        <f t="shared" si="9"/>
        <v>0.9991505900615456</v>
      </c>
      <c r="M21" s="124">
        <f t="shared" si="10"/>
        <v>0.7379229563402879</v>
      </c>
      <c r="N21" s="54">
        <f t="shared" si="11"/>
        <v>0.262077043659712</v>
      </c>
      <c r="O21" s="124">
        <f t="shared" si="12"/>
        <v>0.7375137863775408</v>
      </c>
      <c r="P21" s="237">
        <f t="shared" si="13"/>
        <v>0.2624862136224591</v>
      </c>
    </row>
    <row r="22" spans="1:16" ht="15">
      <c r="A22" s="132">
        <v>1927</v>
      </c>
      <c r="B22" s="30">
        <v>816</v>
      </c>
      <c r="C22" s="30">
        <v>178464.6</v>
      </c>
      <c r="D22" s="30">
        <v>179265.5</v>
      </c>
      <c r="E22" s="22">
        <f t="shared" si="7"/>
        <v>1.0044877247364463</v>
      </c>
      <c r="F22" s="30">
        <v>297716.7</v>
      </c>
      <c r="G22" s="30">
        <v>297716.7</v>
      </c>
      <c r="H22" s="22">
        <f t="shared" si="8"/>
        <v>1</v>
      </c>
      <c r="I22" s="235">
        <v>0.3211118</v>
      </c>
      <c r="J22" s="236">
        <v>44071.49</v>
      </c>
      <c r="K22" s="236">
        <v>44071.49</v>
      </c>
      <c r="L22" s="22">
        <f t="shared" si="9"/>
        <v>1</v>
      </c>
      <c r="M22" s="124">
        <f t="shared" si="10"/>
        <v>0.7715672702574159</v>
      </c>
      <c r="N22" s="54">
        <f t="shared" si="11"/>
        <v>0.22843272974258413</v>
      </c>
      <c r="O22" s="124">
        <f t="shared" si="12"/>
        <v>0.7715672702574159</v>
      </c>
      <c r="P22" s="237">
        <f t="shared" si="13"/>
        <v>0.22843272974258413</v>
      </c>
    </row>
    <row r="23" spans="1:16" ht="15">
      <c r="A23" s="132">
        <v>1932</v>
      </c>
      <c r="B23" s="30">
        <v>850</v>
      </c>
      <c r="C23" s="30">
        <v>203360.5</v>
      </c>
      <c r="D23" s="30">
        <v>202796.8</v>
      </c>
      <c r="E23" s="22">
        <f t="shared" si="7"/>
        <v>0.9972280752653538</v>
      </c>
      <c r="F23" s="30">
        <v>341849.2</v>
      </c>
      <c r="G23" s="30">
        <v>341849.2</v>
      </c>
      <c r="H23" s="22">
        <f t="shared" si="8"/>
        <v>1</v>
      </c>
      <c r="I23" s="235">
        <v>0.3272395</v>
      </c>
      <c r="J23" s="236">
        <v>50387.03</v>
      </c>
      <c r="K23" s="236">
        <v>50387.03</v>
      </c>
      <c r="L23" s="22">
        <f t="shared" si="9"/>
        <v>1</v>
      </c>
      <c r="M23" s="124">
        <f t="shared" si="10"/>
        <v>0.7723254308867545</v>
      </c>
      <c r="N23" s="54">
        <f t="shared" si="11"/>
        <v>0.2276745691132454</v>
      </c>
      <c r="O23" s="124">
        <f t="shared" si="12"/>
        <v>0.7723254308867545</v>
      </c>
      <c r="P23" s="237">
        <f t="shared" si="13"/>
        <v>0.2276745691132454</v>
      </c>
    </row>
    <row r="24" spans="1:16" ht="15">
      <c r="A24" s="132">
        <v>1937</v>
      </c>
      <c r="B24" s="30">
        <v>934</v>
      </c>
      <c r="C24" s="30">
        <v>192913.5</v>
      </c>
      <c r="D24" s="30">
        <v>194547.6</v>
      </c>
      <c r="E24" s="22">
        <f t="shared" si="7"/>
        <v>1.008470635803093</v>
      </c>
      <c r="F24" s="30">
        <v>315910.8</v>
      </c>
      <c r="G24" s="30">
        <v>315910.8</v>
      </c>
      <c r="H24" s="22">
        <f t="shared" si="8"/>
        <v>1</v>
      </c>
      <c r="I24" s="235">
        <v>0.2792344</v>
      </c>
      <c r="J24" s="236">
        <v>46005.18</v>
      </c>
      <c r="K24" s="236">
        <v>46003.93</v>
      </c>
      <c r="L24" s="22">
        <f t="shared" si="9"/>
        <v>0.9999728291466309</v>
      </c>
      <c r="M24" s="124">
        <f t="shared" si="10"/>
        <v>0.7744408257713329</v>
      </c>
      <c r="N24" s="54">
        <f t="shared" si="11"/>
        <v>0.22555917422866714</v>
      </c>
      <c r="O24" s="124">
        <f t="shared" si="12"/>
        <v>0.7744455720657643</v>
      </c>
      <c r="P24" s="237">
        <f t="shared" si="13"/>
        <v>0.22555442793423572</v>
      </c>
    </row>
    <row r="25" spans="1:16" ht="15">
      <c r="A25" s="389" t="s">
        <v>299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2"/>
    </row>
    <row r="26" spans="1:16" ht="1.5" customHeight="1">
      <c r="A26" s="130"/>
      <c r="B26" s="6" t="s">
        <v>60</v>
      </c>
      <c r="C26" s="6" t="s">
        <v>61</v>
      </c>
      <c r="D26" s="6" t="s">
        <v>545</v>
      </c>
      <c r="E26" s="6"/>
      <c r="F26" s="6" t="s">
        <v>172</v>
      </c>
      <c r="G26" s="6" t="s">
        <v>546</v>
      </c>
      <c r="H26" s="6"/>
      <c r="I26" s="233">
        <v>37135</v>
      </c>
      <c r="J26" s="80" t="s">
        <v>292</v>
      </c>
      <c r="K26" s="80" t="s">
        <v>547</v>
      </c>
      <c r="L26" s="80"/>
      <c r="M26" s="80"/>
      <c r="N26" s="80"/>
      <c r="O26" s="80"/>
      <c r="P26" s="234"/>
    </row>
    <row r="27" spans="1:16" ht="15">
      <c r="A27" s="132">
        <v>1872</v>
      </c>
      <c r="B27" s="30">
        <v>286</v>
      </c>
      <c r="C27" s="30">
        <v>55000.76</v>
      </c>
      <c r="D27" s="30">
        <v>52621.06</v>
      </c>
      <c r="E27" s="22">
        <f aca="true" t="shared" si="14" ref="E27:E33">D27/C27</f>
        <v>0.956733325139507</v>
      </c>
      <c r="F27" s="30">
        <v>80179.94</v>
      </c>
      <c r="G27" s="30">
        <v>79946.38</v>
      </c>
      <c r="H27" s="22">
        <f aca="true" t="shared" si="15" ref="H27:H33">G27/F27</f>
        <v>0.9970870519484051</v>
      </c>
      <c r="I27" s="235">
        <v>0.2117759</v>
      </c>
      <c r="J27" s="236">
        <v>13271.22</v>
      </c>
      <c r="K27" s="236">
        <v>12531.49</v>
      </c>
      <c r="L27" s="22">
        <f aca="true" t="shared" si="16" ref="L27:L33">K27/J27</f>
        <v>0.9442605879489603</v>
      </c>
      <c r="M27" s="124">
        <f>0.5*F27/(0.5*F27+J27)</f>
        <v>0.7512945269773781</v>
      </c>
      <c r="N27" s="54">
        <f>J27/(0.5*F27+J27)</f>
        <v>0.24870547302262186</v>
      </c>
      <c r="O27" s="124">
        <f>0.5*G27/(0.5*G27+K27)</f>
        <v>0.7613262284428741</v>
      </c>
      <c r="P27" s="237">
        <f>K27/(0.5*G27+K27)</f>
        <v>0.23867377155712596</v>
      </c>
    </row>
    <row r="28" spans="1:16" ht="15">
      <c r="A28" s="132">
        <v>1882</v>
      </c>
      <c r="B28" s="30">
        <v>395</v>
      </c>
      <c r="C28" s="30">
        <v>66638.71</v>
      </c>
      <c r="D28" s="30">
        <v>64725.81</v>
      </c>
      <c r="E28" s="22">
        <f>D28/C28</f>
        <v>0.9712944623327792</v>
      </c>
      <c r="F28" s="30">
        <v>88004.87</v>
      </c>
      <c r="G28" s="30">
        <v>87709.83</v>
      </c>
      <c r="H28" s="22">
        <f>G28/F28</f>
        <v>0.9966474582599805</v>
      </c>
      <c r="I28" s="235">
        <v>0.2512311</v>
      </c>
      <c r="J28" s="236">
        <v>22502.87</v>
      </c>
      <c r="K28" s="236">
        <v>22111.31</v>
      </c>
      <c r="L28" s="22">
        <f>K28/J28</f>
        <v>0.9825995528570357</v>
      </c>
      <c r="M28" s="124">
        <f aca="true" t="shared" si="17" ref="M28:M33">0.5*F28/(0.5*F28+J28)</f>
        <v>0.6616379700837399</v>
      </c>
      <c r="N28" s="54">
        <f aca="true" t="shared" si="18" ref="N28:N33">J28/(0.5*F28+J28)</f>
        <v>0.3383620299162601</v>
      </c>
      <c r="O28" s="124">
        <f aca="true" t="shared" si="19" ref="O28:O33">0.5*G28/(0.5*G28+K28)</f>
        <v>0.6648086198656964</v>
      </c>
      <c r="P28" s="237">
        <f aca="true" t="shared" si="20" ref="P28:P33">K28/(0.5*G28+K28)</f>
        <v>0.33519138013430355</v>
      </c>
    </row>
    <row r="29" spans="1:16" ht="15">
      <c r="A29" s="132">
        <v>1912</v>
      </c>
      <c r="B29" s="30">
        <v>374</v>
      </c>
      <c r="C29" s="30">
        <v>101897.6</v>
      </c>
      <c r="D29" s="30">
        <v>99535.7</v>
      </c>
      <c r="E29" s="22">
        <f t="shared" si="14"/>
        <v>0.9768208475960178</v>
      </c>
      <c r="F29" s="30">
        <v>114700.6</v>
      </c>
      <c r="G29" s="30">
        <v>114700.6</v>
      </c>
      <c r="H29" s="22">
        <f t="shared" si="15"/>
        <v>1</v>
      </c>
      <c r="I29" s="235">
        <v>0.3223583</v>
      </c>
      <c r="J29" s="236">
        <v>42971.45</v>
      </c>
      <c r="K29" s="236">
        <v>42971.52</v>
      </c>
      <c r="L29" s="22">
        <f t="shared" si="16"/>
        <v>1.0000016289885494</v>
      </c>
      <c r="M29" s="124">
        <f t="shared" si="17"/>
        <v>0.571663672134906</v>
      </c>
      <c r="N29" s="54">
        <f t="shared" si="18"/>
        <v>0.428336327865094</v>
      </c>
      <c r="O29" s="124">
        <f t="shared" si="19"/>
        <v>0.5716632732540139</v>
      </c>
      <c r="P29" s="237">
        <f t="shared" si="20"/>
        <v>0.428336726745986</v>
      </c>
    </row>
    <row r="30" spans="1:16" ht="15">
      <c r="A30" s="132">
        <v>1922</v>
      </c>
      <c r="B30" s="30">
        <v>359</v>
      </c>
      <c r="C30" s="30">
        <v>113415.3</v>
      </c>
      <c r="D30" s="30">
        <v>113315.4</v>
      </c>
      <c r="E30" s="22">
        <f t="shared" si="14"/>
        <v>0.9991191664616678</v>
      </c>
      <c r="F30" s="30">
        <v>145873.3</v>
      </c>
      <c r="G30" s="30">
        <v>145864.7</v>
      </c>
      <c r="H30" s="22">
        <f t="shared" si="15"/>
        <v>0.999941044728542</v>
      </c>
      <c r="I30" s="235">
        <v>0.3980583</v>
      </c>
      <c r="J30" s="236">
        <v>43025.09</v>
      </c>
      <c r="K30" s="236">
        <v>43122.55</v>
      </c>
      <c r="L30" s="22">
        <f t="shared" si="16"/>
        <v>1.0022651899159305</v>
      </c>
      <c r="M30" s="124">
        <f t="shared" si="17"/>
        <v>0.6289716763477333</v>
      </c>
      <c r="N30" s="54">
        <f t="shared" si="18"/>
        <v>0.3710283236522667</v>
      </c>
      <c r="O30" s="124">
        <f t="shared" si="19"/>
        <v>0.6284297345480458</v>
      </c>
      <c r="P30" s="237">
        <f t="shared" si="20"/>
        <v>0.3715702654519542</v>
      </c>
    </row>
    <row r="31" spans="1:16" ht="15">
      <c r="A31" s="132">
        <v>1927</v>
      </c>
      <c r="B31" s="30">
        <v>297</v>
      </c>
      <c r="C31" s="30">
        <v>214469.6</v>
      </c>
      <c r="D31" s="30">
        <v>212977.8</v>
      </c>
      <c r="E31" s="22">
        <f t="shared" si="14"/>
        <v>0.9930442356399228</v>
      </c>
      <c r="F31" s="30">
        <v>315963</v>
      </c>
      <c r="G31" s="30">
        <v>315963</v>
      </c>
      <c r="H31" s="22">
        <f t="shared" si="15"/>
        <v>1</v>
      </c>
      <c r="I31" s="235">
        <v>0.3222789</v>
      </c>
      <c r="J31" s="236">
        <v>58016.53</v>
      </c>
      <c r="K31" s="236">
        <v>58016.53</v>
      </c>
      <c r="L31" s="22">
        <f t="shared" si="16"/>
        <v>1</v>
      </c>
      <c r="M31" s="124">
        <f t="shared" si="17"/>
        <v>0.7314025039950596</v>
      </c>
      <c r="N31" s="54">
        <f t="shared" si="18"/>
        <v>0.26859749600494043</v>
      </c>
      <c r="O31" s="124">
        <f t="shared" si="19"/>
        <v>0.7314025039950596</v>
      </c>
      <c r="P31" s="237">
        <f t="shared" si="20"/>
        <v>0.26859749600494043</v>
      </c>
    </row>
    <row r="32" spans="1:16" ht="15">
      <c r="A32" s="132">
        <v>1932</v>
      </c>
      <c r="B32" s="30">
        <v>388</v>
      </c>
      <c r="C32" s="30">
        <v>165352.6</v>
      </c>
      <c r="D32" s="30">
        <v>162487.9</v>
      </c>
      <c r="E32" s="22">
        <f t="shared" si="14"/>
        <v>0.9826752043814249</v>
      </c>
      <c r="F32" s="30">
        <v>224309.3</v>
      </c>
      <c r="G32" s="30">
        <v>224309.3</v>
      </c>
      <c r="H32" s="22">
        <f t="shared" si="15"/>
        <v>1</v>
      </c>
      <c r="I32" s="235">
        <v>0.3602893</v>
      </c>
      <c r="J32" s="236">
        <v>51561.4</v>
      </c>
      <c r="K32" s="236">
        <v>51561.4</v>
      </c>
      <c r="L32" s="22">
        <f t="shared" si="16"/>
        <v>1</v>
      </c>
      <c r="M32" s="124">
        <f t="shared" si="17"/>
        <v>0.6850559245718425</v>
      </c>
      <c r="N32" s="54">
        <f t="shared" si="18"/>
        <v>0.3149440754281575</v>
      </c>
      <c r="O32" s="124">
        <f t="shared" si="19"/>
        <v>0.6850559245718425</v>
      </c>
      <c r="P32" s="237">
        <f t="shared" si="20"/>
        <v>0.3149440754281575</v>
      </c>
    </row>
    <row r="33" spans="1:16" ht="15.75" thickBot="1">
      <c r="A33" s="132">
        <v>1937</v>
      </c>
      <c r="B33" s="30">
        <v>414</v>
      </c>
      <c r="C33" s="30">
        <v>163005.5</v>
      </c>
      <c r="D33" s="30">
        <v>164058.4</v>
      </c>
      <c r="E33" s="22">
        <f t="shared" si="14"/>
        <v>1.0064592912509087</v>
      </c>
      <c r="F33" s="30">
        <v>302106.2</v>
      </c>
      <c r="G33" s="30">
        <v>302106.2</v>
      </c>
      <c r="H33" s="22">
        <f t="shared" si="15"/>
        <v>1</v>
      </c>
      <c r="I33" s="235">
        <v>0.3306351</v>
      </c>
      <c r="J33" s="236">
        <v>39370.16</v>
      </c>
      <c r="K33" s="236">
        <v>39119.32</v>
      </c>
      <c r="L33" s="22">
        <f t="shared" si="16"/>
        <v>0.9936286771504103</v>
      </c>
      <c r="M33" s="124">
        <f t="shared" si="17"/>
        <v>0.7932492070559027</v>
      </c>
      <c r="N33" s="54">
        <f t="shared" si="18"/>
        <v>0.2067507929440973</v>
      </c>
      <c r="O33" s="124">
        <f t="shared" si="19"/>
        <v>0.7942955135134737</v>
      </c>
      <c r="P33" s="237">
        <f t="shared" si="20"/>
        <v>0.20570448648652626</v>
      </c>
    </row>
    <row r="34" spans="1:16" ht="15.75" thickBot="1" thickTop="1">
      <c r="A34" s="327" t="s">
        <v>548</v>
      </c>
      <c r="B34" s="328"/>
      <c r="C34" s="328"/>
      <c r="D34" s="328"/>
      <c r="E34" s="328"/>
      <c r="F34" s="328"/>
      <c r="G34" s="328"/>
      <c r="H34" s="328"/>
      <c r="I34" s="393"/>
      <c r="J34" s="393"/>
      <c r="K34" s="393"/>
      <c r="L34" s="393"/>
      <c r="M34" s="393"/>
      <c r="N34" s="393"/>
      <c r="O34" s="393"/>
      <c r="P34" s="313"/>
    </row>
    <row r="35" ht="15" thickTop="1"/>
  </sheetData>
  <mergeCells count="20">
    <mergeCell ref="A16:P16"/>
    <mergeCell ref="A25:P25"/>
    <mergeCell ref="A3:P3"/>
    <mergeCell ref="B4:P4"/>
    <mergeCell ref="C5:C6"/>
    <mergeCell ref="J5:J6"/>
    <mergeCell ref="K5:K6"/>
    <mergeCell ref="A5:A6"/>
    <mergeCell ref="B5:B6"/>
    <mergeCell ref="D5:D6"/>
    <mergeCell ref="A34:P34"/>
    <mergeCell ref="E5:E6"/>
    <mergeCell ref="L5:L6"/>
    <mergeCell ref="O6:P6"/>
    <mergeCell ref="A7:P7"/>
    <mergeCell ref="I5:I6"/>
    <mergeCell ref="F5:F6"/>
    <mergeCell ref="G5:G6"/>
    <mergeCell ref="H5:H6"/>
    <mergeCell ref="M6:N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tabSelected="1" workbookViewId="0" topLeftCell="A1">
      <pane ySplit="9" topLeftCell="BM10" activePane="bottomLeft" state="frozen"/>
      <selection pane="topLeft" activeCell="A1" sqref="A1"/>
      <selection pane="bottomLeft" activeCell="A3" sqref="A3:P37"/>
    </sheetView>
  </sheetViews>
  <sheetFormatPr defaultColWidth="11.5546875" defaultRowHeight="15"/>
  <cols>
    <col min="1" max="16" width="6.77734375" style="0" customWidth="1"/>
    <col min="17" max="17" width="5.3359375" style="0" customWidth="1"/>
    <col min="18" max="20" width="7.3359375" style="0" customWidth="1"/>
    <col min="21" max="34" width="10.77734375" style="0" customWidth="1"/>
    <col min="35" max="16384" width="8.88671875" style="0" customWidth="1"/>
  </cols>
  <sheetData>
    <row r="2" spans="1:16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8" customHeight="1" thickTop="1">
      <c r="A3" s="346" t="s">
        <v>293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22"/>
      <c r="Q3" s="3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49"/>
    </row>
    <row r="5" spans="1:16" ht="18" customHeight="1">
      <c r="A5" s="221"/>
      <c r="B5" s="358" t="s">
        <v>441</v>
      </c>
      <c r="C5" s="350"/>
      <c r="D5" s="350"/>
      <c r="E5" s="350"/>
      <c r="F5" s="350"/>
      <c r="G5" s="350"/>
      <c r="H5" s="443"/>
      <c r="I5" s="358" t="s">
        <v>352</v>
      </c>
      <c r="J5" s="350"/>
      <c r="K5" s="350"/>
      <c r="L5" s="350"/>
      <c r="M5" s="350"/>
      <c r="N5" s="350"/>
      <c r="O5" s="358" t="s">
        <v>118</v>
      </c>
      <c r="P5" s="394"/>
    </row>
    <row r="6" spans="1:16" ht="18" customHeight="1">
      <c r="A6" s="221"/>
      <c r="B6" s="381"/>
      <c r="C6" s="379"/>
      <c r="D6" s="379"/>
      <c r="E6" s="379"/>
      <c r="F6" s="379"/>
      <c r="G6" s="379"/>
      <c r="H6" s="444"/>
      <c r="I6" s="381"/>
      <c r="J6" s="379"/>
      <c r="K6" s="379"/>
      <c r="L6" s="379"/>
      <c r="M6" s="379"/>
      <c r="N6" s="379"/>
      <c r="O6" s="381"/>
      <c r="P6" s="448"/>
    </row>
    <row r="7" spans="1:16" ht="18" customHeight="1">
      <c r="A7" s="221"/>
      <c r="B7" s="445"/>
      <c r="C7" s="446"/>
      <c r="D7" s="446"/>
      <c r="E7" s="446"/>
      <c r="F7" s="446"/>
      <c r="G7" s="446"/>
      <c r="H7" s="447"/>
      <c r="I7" s="445"/>
      <c r="J7" s="446"/>
      <c r="K7" s="446"/>
      <c r="L7" s="446"/>
      <c r="M7" s="446"/>
      <c r="N7" s="446"/>
      <c r="O7" s="445"/>
      <c r="P7" s="449"/>
    </row>
    <row r="8" spans="1:17" ht="64.5" customHeight="1">
      <c r="A8" s="389"/>
      <c r="B8" s="450" t="s">
        <v>348</v>
      </c>
      <c r="C8" s="437" t="s">
        <v>253</v>
      </c>
      <c r="D8" s="450" t="s">
        <v>428</v>
      </c>
      <c r="E8" s="450" t="s">
        <v>349</v>
      </c>
      <c r="F8" s="454" t="s">
        <v>253</v>
      </c>
      <c r="G8" s="437" t="s">
        <v>354</v>
      </c>
      <c r="H8" s="454" t="s">
        <v>353</v>
      </c>
      <c r="I8" s="437" t="s">
        <v>350</v>
      </c>
      <c r="J8" s="437" t="s">
        <v>253</v>
      </c>
      <c r="K8" s="450" t="s">
        <v>351</v>
      </c>
      <c r="L8" s="454" t="s">
        <v>253</v>
      </c>
      <c r="M8" s="437" t="s">
        <v>355</v>
      </c>
      <c r="N8" s="437" t="s">
        <v>356</v>
      </c>
      <c r="O8" s="450" t="s">
        <v>254</v>
      </c>
      <c r="P8" s="452" t="s">
        <v>357</v>
      </c>
      <c r="Q8" s="9"/>
    </row>
    <row r="9" spans="1:17" ht="19.5" customHeight="1">
      <c r="A9" s="390"/>
      <c r="B9" s="451"/>
      <c r="C9" s="456"/>
      <c r="D9" s="451"/>
      <c r="E9" s="451"/>
      <c r="F9" s="455"/>
      <c r="G9" s="456"/>
      <c r="H9" s="455"/>
      <c r="I9" s="438"/>
      <c r="J9" s="438"/>
      <c r="K9" s="451"/>
      <c r="L9" s="455"/>
      <c r="M9" s="438"/>
      <c r="N9" s="438"/>
      <c r="O9" s="451"/>
      <c r="P9" s="453"/>
      <c r="Q9" s="9"/>
    </row>
    <row r="10" spans="1:17" ht="18" customHeight="1">
      <c r="A10" s="389" t="s">
        <v>169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2"/>
      <c r="Q10" s="9"/>
    </row>
    <row r="11" spans="1:16" ht="1.5" customHeight="1">
      <c r="A11" s="130"/>
      <c r="B11" s="6" t="s">
        <v>294</v>
      </c>
      <c r="C11" s="6" t="s">
        <v>295</v>
      </c>
      <c r="D11" s="6" t="s">
        <v>513</v>
      </c>
      <c r="E11" s="6" t="s">
        <v>296</v>
      </c>
      <c r="F11" s="6" t="s">
        <v>297</v>
      </c>
      <c r="G11" s="6"/>
      <c r="H11" s="6"/>
      <c r="I11" s="6" t="s">
        <v>549</v>
      </c>
      <c r="J11" s="6" t="s">
        <v>550</v>
      </c>
      <c r="K11" s="238" t="s">
        <v>551</v>
      </c>
      <c r="L11" s="80" t="s">
        <v>552</v>
      </c>
      <c r="M11" s="80"/>
      <c r="N11" s="80"/>
      <c r="O11" s="80"/>
      <c r="P11" s="234"/>
    </row>
    <row r="12" spans="1:17" ht="18" customHeight="1">
      <c r="A12" s="132">
        <v>1872</v>
      </c>
      <c r="B12" s="21">
        <v>0.3537118</v>
      </c>
      <c r="C12" s="22">
        <v>0.9091954</v>
      </c>
      <c r="D12" s="22">
        <v>0.4250364</v>
      </c>
      <c r="E12" s="21">
        <v>0.0094614</v>
      </c>
      <c r="F12" s="23">
        <v>0.0153378</v>
      </c>
      <c r="G12" s="54">
        <f aca="true" t="shared" si="0" ref="G12:G18">C12-F12</f>
        <v>0.8938576</v>
      </c>
      <c r="H12" s="104">
        <f>G12*TableB15!$J9/TableB15!$F9</f>
        <v>0.14903191004756883</v>
      </c>
      <c r="I12" s="22">
        <v>0.3631732</v>
      </c>
      <c r="J12" s="22">
        <v>0.6846891</v>
      </c>
      <c r="K12" s="21">
        <v>0.0163755</v>
      </c>
      <c r="L12" s="23">
        <v>0.0299156</v>
      </c>
      <c r="M12" s="54">
        <f aca="true" t="shared" si="1" ref="M12:M18">J12-L12</f>
        <v>0.6547735</v>
      </c>
      <c r="N12" s="54">
        <f>M12*TableB15!$J9/TableB15!$F9</f>
        <v>0.10916967686299452</v>
      </c>
      <c r="O12" s="61">
        <f>G12+M12</f>
        <v>1.5486311000000001</v>
      </c>
      <c r="P12" s="239">
        <f>H12+N12</f>
        <v>0.25820158691056333</v>
      </c>
      <c r="Q12" s="96"/>
    </row>
    <row r="13" spans="1:17" ht="18" customHeight="1">
      <c r="A13" s="132">
        <v>1882</v>
      </c>
      <c r="B13" s="21">
        <v>0.3960586</v>
      </c>
      <c r="C13" s="22">
        <v>0.9966708</v>
      </c>
      <c r="D13" s="22">
        <v>0.4747776</v>
      </c>
      <c r="E13" s="21">
        <v>0.0688381</v>
      </c>
      <c r="F13" s="23">
        <v>0.1244937</v>
      </c>
      <c r="G13" s="54">
        <f>C13-F13</f>
        <v>0.8721770999999999</v>
      </c>
      <c r="H13" s="104">
        <f>G13*TableB15!$J10/TableB15!$F10</f>
        <v>0.13801117408982883</v>
      </c>
      <c r="I13" s="22">
        <v>0.3741344</v>
      </c>
      <c r="J13" s="22">
        <v>0.902989</v>
      </c>
      <c r="K13" s="21">
        <v>0.0703161</v>
      </c>
      <c r="L13" s="23">
        <v>0.1521567</v>
      </c>
      <c r="M13" s="54">
        <f>J13-L13</f>
        <v>0.7508323</v>
      </c>
      <c r="N13" s="54">
        <f>M13*TableB15!$J10/TableB15!$F10</f>
        <v>0.11880986931159576</v>
      </c>
      <c r="O13" s="61">
        <f>G13+M13</f>
        <v>1.6230094</v>
      </c>
      <c r="P13" s="239">
        <f>H13+N13</f>
        <v>0.2568210434014246</v>
      </c>
      <c r="Q13" s="96"/>
    </row>
    <row r="14" spans="1:17" ht="18" customHeight="1">
      <c r="A14" s="132">
        <v>1912</v>
      </c>
      <c r="B14" s="21">
        <v>0.3140759</v>
      </c>
      <c r="C14" s="22">
        <v>0.5049676</v>
      </c>
      <c r="D14" s="22">
        <v>0.4489596</v>
      </c>
      <c r="E14" s="21">
        <v>0.1495716</v>
      </c>
      <c r="F14" s="23">
        <v>0.194145</v>
      </c>
      <c r="G14" s="54">
        <f t="shared" si="0"/>
        <v>0.31082259999999995</v>
      </c>
      <c r="H14" s="104">
        <f>G14*TableB15!$J11/TableB15!$F11</f>
        <v>0.11381490045385453</v>
      </c>
      <c r="I14" s="22">
        <v>0.295716</v>
      </c>
      <c r="J14" s="22">
        <v>0.436048</v>
      </c>
      <c r="K14" s="21">
        <v>0.1241126</v>
      </c>
      <c r="L14" s="23">
        <v>0.0516557</v>
      </c>
      <c r="M14" s="54">
        <f t="shared" si="1"/>
        <v>0.3843923</v>
      </c>
      <c r="N14" s="54">
        <f>M14*TableB15!$J11/TableB15!$F11</f>
        <v>0.14075415159556673</v>
      </c>
      <c r="O14" s="61">
        <f aca="true" t="shared" si="2" ref="O14:P17">G14+M14</f>
        <v>0.6952149</v>
      </c>
      <c r="P14" s="239">
        <f t="shared" si="2"/>
        <v>0.25456905204942126</v>
      </c>
      <c r="Q14" s="96"/>
    </row>
    <row r="15" spans="1:17" ht="18" customHeight="1">
      <c r="A15" s="132">
        <v>1922</v>
      </c>
      <c r="B15" s="21">
        <v>0.3241819</v>
      </c>
      <c r="C15" s="22">
        <v>0.7108507</v>
      </c>
      <c r="D15" s="22">
        <v>0.4700198</v>
      </c>
      <c r="E15" s="21">
        <v>0.1449594</v>
      </c>
      <c r="F15" s="23">
        <v>0.3448455</v>
      </c>
      <c r="G15" s="54">
        <f t="shared" si="0"/>
        <v>0.3660051999999999</v>
      </c>
      <c r="H15" s="104">
        <f>G15*TableB15!$J12/TableB15!$F12</f>
        <v>0.07706749766993232</v>
      </c>
      <c r="I15" s="22">
        <v>0.3327476</v>
      </c>
      <c r="J15" s="22">
        <v>0.7466374</v>
      </c>
      <c r="K15" s="21">
        <v>0.105425</v>
      </c>
      <c r="L15" s="23">
        <v>0.0967992</v>
      </c>
      <c r="M15" s="54">
        <f t="shared" si="1"/>
        <v>0.6498382</v>
      </c>
      <c r="N15" s="54">
        <f>M15*TableB15!$J12/TableB15!$F12</f>
        <v>0.13683249299281272</v>
      </c>
      <c r="O15" s="61">
        <f t="shared" si="2"/>
        <v>1.0158434</v>
      </c>
      <c r="P15" s="239">
        <f t="shared" si="2"/>
        <v>0.21389999066274504</v>
      </c>
      <c r="Q15" s="96"/>
    </row>
    <row r="16" spans="1:17" ht="18" customHeight="1">
      <c r="A16" s="132">
        <v>1927</v>
      </c>
      <c r="B16" s="21">
        <v>0.2656867</v>
      </c>
      <c r="C16" s="22">
        <v>0.5330206</v>
      </c>
      <c r="D16" s="22">
        <v>0.4133392</v>
      </c>
      <c r="E16" s="21">
        <v>0.111233</v>
      </c>
      <c r="F16" s="23">
        <v>0.1918303</v>
      </c>
      <c r="G16" s="54">
        <f t="shared" si="0"/>
        <v>0.34119029999999995</v>
      </c>
      <c r="H16" s="104">
        <f>G16*TableB15!$J13/TableB15!$F13</f>
        <v>0.053779866011558576</v>
      </c>
      <c r="I16" s="22">
        <v>0.2808249</v>
      </c>
      <c r="J16" s="22">
        <v>0.8286334</v>
      </c>
      <c r="K16" s="21">
        <v>0.072839</v>
      </c>
      <c r="L16" s="23">
        <v>0.0529342</v>
      </c>
      <c r="M16" s="54">
        <f t="shared" si="1"/>
        <v>0.7756991999999999</v>
      </c>
      <c r="N16" s="54">
        <f>M16*TableB15!$J13/TableB15!$F13</f>
        <v>0.12226900659624022</v>
      </c>
      <c r="O16" s="61">
        <f t="shared" si="2"/>
        <v>1.1168894999999999</v>
      </c>
      <c r="P16" s="239">
        <f t="shared" si="2"/>
        <v>0.1760488726077988</v>
      </c>
      <c r="Q16" s="96"/>
    </row>
    <row r="17" spans="1:17" ht="18" customHeight="1">
      <c r="A17" s="132">
        <v>1932</v>
      </c>
      <c r="B17" s="21">
        <v>0.2406829</v>
      </c>
      <c r="C17" s="22">
        <v>0.5123885</v>
      </c>
      <c r="D17" s="22">
        <v>0.4268166</v>
      </c>
      <c r="E17" s="21">
        <v>0.0643348</v>
      </c>
      <c r="F17" s="23">
        <v>0.103868</v>
      </c>
      <c r="G17" s="54">
        <f t="shared" si="0"/>
        <v>0.4085205</v>
      </c>
      <c r="H17" s="104">
        <f>G17*TableB15!$J14/TableB15!$F14</f>
        <v>0.06807033999962249</v>
      </c>
      <c r="I17" s="22">
        <v>0.273579</v>
      </c>
      <c r="J17" s="22">
        <v>0.7976092</v>
      </c>
      <c r="K17" s="21">
        <v>0.0374766</v>
      </c>
      <c r="L17" s="23">
        <v>0.0296985</v>
      </c>
      <c r="M17" s="54">
        <f t="shared" si="1"/>
        <v>0.7679107000000001</v>
      </c>
      <c r="N17" s="54">
        <f>M17*TableB15!$J14/TableB15!$F14</f>
        <v>0.127954270197819</v>
      </c>
      <c r="O17" s="61">
        <f t="shared" si="2"/>
        <v>1.1764312000000001</v>
      </c>
      <c r="P17" s="239">
        <f t="shared" si="2"/>
        <v>0.1960246101974415</v>
      </c>
      <c r="Q17" s="96"/>
    </row>
    <row r="18" spans="1:17" ht="18" customHeight="1">
      <c r="A18" s="132">
        <v>1937</v>
      </c>
      <c r="B18" s="51">
        <v>0.2230627</v>
      </c>
      <c r="C18" s="52">
        <v>0.5627396</v>
      </c>
      <c r="D18" s="52">
        <v>0.3833948</v>
      </c>
      <c r="E18" s="51">
        <v>0.0520295</v>
      </c>
      <c r="F18" s="53">
        <v>0.1372574</v>
      </c>
      <c r="G18" s="105">
        <f t="shared" si="0"/>
        <v>0.42548220000000003</v>
      </c>
      <c r="H18" s="106">
        <f>G18*TableB15!$J15/TableB15!$F15</f>
        <v>0.06009189483097322</v>
      </c>
      <c r="I18" s="22">
        <v>0.2433579</v>
      </c>
      <c r="J18" s="22">
        <v>1.136181</v>
      </c>
      <c r="K18" s="51">
        <v>0.0566421</v>
      </c>
      <c r="L18" s="53">
        <v>0.1093288</v>
      </c>
      <c r="M18" s="54">
        <f t="shared" si="1"/>
        <v>1.0268522</v>
      </c>
      <c r="N18" s="54">
        <f>M18*TableB15!$J15/TableB15!$F15</f>
        <v>0.14502485511580385</v>
      </c>
      <c r="O18" s="107">
        <f>G18+M18</f>
        <v>1.4523344</v>
      </c>
      <c r="P18" s="240">
        <f>H18+N18</f>
        <v>0.20511674994677706</v>
      </c>
      <c r="Q18" s="96"/>
    </row>
    <row r="19" spans="1:16" ht="15">
      <c r="A19" s="389" t="s">
        <v>298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2"/>
    </row>
    <row r="20" spans="1:16" ht="1.5" customHeight="1">
      <c r="A20" s="130"/>
      <c r="B20" s="6" t="s">
        <v>294</v>
      </c>
      <c r="C20" s="6" t="s">
        <v>295</v>
      </c>
      <c r="D20" s="6" t="s">
        <v>513</v>
      </c>
      <c r="E20" s="6" t="s">
        <v>296</v>
      </c>
      <c r="F20" s="6" t="s">
        <v>297</v>
      </c>
      <c r="G20" s="6"/>
      <c r="H20" s="6"/>
      <c r="I20" s="6" t="s">
        <v>549</v>
      </c>
      <c r="J20" s="6" t="s">
        <v>550</v>
      </c>
      <c r="K20" s="238" t="s">
        <v>551</v>
      </c>
      <c r="L20" s="80" t="s">
        <v>552</v>
      </c>
      <c r="M20" s="80"/>
      <c r="N20" s="80"/>
      <c r="O20" s="80"/>
      <c r="P20" s="234"/>
    </row>
    <row r="21" spans="1:16" ht="15">
      <c r="A21" s="132">
        <v>1872</v>
      </c>
      <c r="B21" s="22">
        <v>0.3250737</v>
      </c>
      <c r="C21" s="22">
        <v>0.9112999</v>
      </c>
      <c r="D21" s="22">
        <v>0.4041298</v>
      </c>
      <c r="E21" s="22">
        <v>0.0100295</v>
      </c>
      <c r="F21" s="22">
        <v>0.0182131</v>
      </c>
      <c r="G21" s="54">
        <f aca="true" t="shared" si="3" ref="G21:G27">C21-F21</f>
        <v>0.8930868000000001</v>
      </c>
      <c r="H21" s="54">
        <f>G21*TableB15!$J18/TableB15!$F18</f>
        <v>0.14939358380088844</v>
      </c>
      <c r="I21" s="22">
        <v>0.3710915</v>
      </c>
      <c r="J21" s="22">
        <v>0.7520242</v>
      </c>
      <c r="K21" s="22">
        <v>0.0159292</v>
      </c>
      <c r="L21" s="22">
        <v>0.0314735</v>
      </c>
      <c r="M21" s="54">
        <f aca="true" t="shared" si="4" ref="M21:M27">J21-L21</f>
        <v>0.7205507</v>
      </c>
      <c r="N21" s="54">
        <f>M21*TableB15!$J18/TableB15!$F18</f>
        <v>0.12053212675771136</v>
      </c>
      <c r="O21" s="54">
        <f aca="true" t="shared" si="5" ref="O21:P27">G21+M21</f>
        <v>1.6136375</v>
      </c>
      <c r="P21" s="239">
        <f t="shared" si="5"/>
        <v>0.2699257105585998</v>
      </c>
    </row>
    <row r="22" spans="1:16" ht="15">
      <c r="A22" s="132">
        <v>1882</v>
      </c>
      <c r="B22" s="22">
        <v>0.3563448</v>
      </c>
      <c r="C22" s="22">
        <v>1.244853</v>
      </c>
      <c r="D22" s="22">
        <v>0.4429245</v>
      </c>
      <c r="E22" s="22">
        <v>0.0759166</v>
      </c>
      <c r="F22" s="22">
        <v>0.1699843</v>
      </c>
      <c r="G22" s="54">
        <f>C22-F22</f>
        <v>1.0748687</v>
      </c>
      <c r="H22" s="54">
        <f>G22*TableB15!$J19/TableB15!$F19</f>
        <v>0.1324881147967187</v>
      </c>
      <c r="I22" s="22">
        <v>0.3738477</v>
      </c>
      <c r="J22" s="22">
        <v>1.154809</v>
      </c>
      <c r="K22" s="22">
        <v>0.0689069</v>
      </c>
      <c r="L22" s="22">
        <v>0.1847555</v>
      </c>
      <c r="M22" s="54">
        <f>J22-L22</f>
        <v>0.9700535</v>
      </c>
      <c r="N22" s="54">
        <f>M22*TableB15!$J19/TableB15!$F19</f>
        <v>0.11956861286123487</v>
      </c>
      <c r="O22" s="54">
        <f>G22+M22</f>
        <v>2.0449222</v>
      </c>
      <c r="P22" s="239">
        <f>H22+N22</f>
        <v>0.25205672765795356</v>
      </c>
    </row>
    <row r="23" spans="1:16" ht="15">
      <c r="A23" s="132">
        <v>1912</v>
      </c>
      <c r="B23" s="22">
        <v>0.3127024</v>
      </c>
      <c r="C23" s="22">
        <v>0.4767997</v>
      </c>
      <c r="D23" s="22">
        <v>0.4598776</v>
      </c>
      <c r="E23" s="22">
        <v>0.1406981</v>
      </c>
      <c r="F23" s="22">
        <v>0.1809167</v>
      </c>
      <c r="G23" s="54">
        <f t="shared" si="3"/>
        <v>0.295883</v>
      </c>
      <c r="H23" s="54">
        <f>G23*TableB15!$J20/TableB15!$F20</f>
        <v>0.10743217323181792</v>
      </c>
      <c r="I23" s="22">
        <v>0.3047859</v>
      </c>
      <c r="J23" s="22">
        <v>0.4495335</v>
      </c>
      <c r="K23" s="22">
        <v>0.1345808</v>
      </c>
      <c r="L23" s="22">
        <v>0.0439622</v>
      </c>
      <c r="M23" s="54">
        <f t="shared" si="4"/>
        <v>0.40557129999999997</v>
      </c>
      <c r="N23" s="54">
        <f>M23*TableB15!$J20/TableB15!$F20</f>
        <v>0.1472589035512469</v>
      </c>
      <c r="O23" s="54">
        <f t="shared" si="5"/>
        <v>0.7014543</v>
      </c>
      <c r="P23" s="239">
        <f t="shared" si="5"/>
        <v>0.2546910767830648</v>
      </c>
    </row>
    <row r="24" spans="1:16" ht="15">
      <c r="A24" s="132">
        <v>1922</v>
      </c>
      <c r="B24" s="22">
        <v>0.3027965</v>
      </c>
      <c r="C24" s="22">
        <v>0.7413614</v>
      </c>
      <c r="D24" s="22">
        <v>0.4615879</v>
      </c>
      <c r="E24" s="22">
        <v>0.155577</v>
      </c>
      <c r="F24" s="22">
        <v>0.4679497</v>
      </c>
      <c r="G24" s="54">
        <f t="shared" si="3"/>
        <v>0.2734116999999999</v>
      </c>
      <c r="H24" s="54">
        <f>G24*TableB15!$J21/TableB15!$F21</f>
        <v>0.04855176913952309</v>
      </c>
      <c r="I24" s="22">
        <v>0.3445837</v>
      </c>
      <c r="J24" s="22">
        <v>0.8011964</v>
      </c>
      <c r="K24" s="22">
        <v>0.1070395</v>
      </c>
      <c r="L24" s="22">
        <v>0.0742193</v>
      </c>
      <c r="M24" s="54">
        <f t="shared" si="4"/>
        <v>0.7269771</v>
      </c>
      <c r="N24" s="54">
        <f>M24*TableB15!$J21/TableB15!$F21</f>
        <v>0.1290947839061752</v>
      </c>
      <c r="O24" s="54">
        <f t="shared" si="5"/>
        <v>1.0003888</v>
      </c>
      <c r="P24" s="239">
        <f t="shared" si="5"/>
        <v>0.1776465530456983</v>
      </c>
    </row>
    <row r="25" spans="1:16" ht="15">
      <c r="A25" s="132">
        <v>1927</v>
      </c>
      <c r="B25" s="22">
        <v>0.2451212</v>
      </c>
      <c r="C25" s="22">
        <v>0.5511889</v>
      </c>
      <c r="D25" s="22">
        <v>0.4047901</v>
      </c>
      <c r="E25" s="22">
        <v>0.1028977</v>
      </c>
      <c r="F25" s="22">
        <v>0.2360673</v>
      </c>
      <c r="G25" s="54">
        <f t="shared" si="3"/>
        <v>0.3151216</v>
      </c>
      <c r="H25" s="54">
        <f>G25*TableB15!$J22/TableB15!$F22</f>
        <v>0.046647965811739814</v>
      </c>
      <c r="I25" s="22">
        <v>0.2803075</v>
      </c>
      <c r="J25" s="22">
        <v>0.9727795</v>
      </c>
      <c r="K25" s="22">
        <v>0.0712596</v>
      </c>
      <c r="L25" s="22">
        <v>0.0495173</v>
      </c>
      <c r="M25" s="54">
        <f t="shared" si="4"/>
        <v>0.9232622</v>
      </c>
      <c r="N25" s="54">
        <f>M25*TableB15!$J22/TableB15!$F22</f>
        <v>0.1366720134096542</v>
      </c>
      <c r="O25" s="54">
        <f t="shared" si="5"/>
        <v>1.2383838</v>
      </c>
      <c r="P25" s="239">
        <f t="shared" si="5"/>
        <v>0.18331997922139404</v>
      </c>
    </row>
    <row r="26" spans="1:16" ht="15">
      <c r="A26" s="132">
        <v>1932</v>
      </c>
      <c r="B26" s="22">
        <v>0.2315661</v>
      </c>
      <c r="C26" s="22">
        <v>0.5183915</v>
      </c>
      <c r="D26" s="22">
        <v>0.4201706</v>
      </c>
      <c r="E26" s="22">
        <v>0.0642901</v>
      </c>
      <c r="F26" s="22">
        <v>0.1319397</v>
      </c>
      <c r="G26" s="54">
        <f t="shared" si="3"/>
        <v>0.3864518</v>
      </c>
      <c r="H26" s="54">
        <f>G26*TableB15!$J23/TableB15!$F23</f>
        <v>0.05696125203789858</v>
      </c>
      <c r="I26" s="22">
        <v>0.289153</v>
      </c>
      <c r="J26" s="22">
        <v>0.9676278</v>
      </c>
      <c r="K26" s="22">
        <v>0.0365631</v>
      </c>
      <c r="L26" s="22">
        <v>0.0296052</v>
      </c>
      <c r="M26" s="54">
        <f t="shared" si="4"/>
        <v>0.9380226</v>
      </c>
      <c r="N26" s="54">
        <f>M26*TableB15!$J23/TableB15!$F23</f>
        <v>0.13826029982482918</v>
      </c>
      <c r="O26" s="54">
        <f t="shared" si="5"/>
        <v>1.3244744000000002</v>
      </c>
      <c r="P26" s="239">
        <f t="shared" si="5"/>
        <v>0.19522155186272777</v>
      </c>
    </row>
    <row r="27" spans="1:16" ht="15">
      <c r="A27" s="132">
        <v>1937</v>
      </c>
      <c r="B27" s="22">
        <v>0.2073938</v>
      </c>
      <c r="C27" s="22">
        <v>0.5540853</v>
      </c>
      <c r="D27" s="22">
        <v>0.3649712</v>
      </c>
      <c r="E27" s="22">
        <v>0.0477189</v>
      </c>
      <c r="F27" s="22">
        <v>0.127098</v>
      </c>
      <c r="G27" s="54">
        <f t="shared" si="3"/>
        <v>0.4269873</v>
      </c>
      <c r="H27" s="54">
        <f>G27*TableB15!$J24/TableB15!$F24</f>
        <v>0.06218093080139711</v>
      </c>
      <c r="I27" s="22">
        <v>0.2475092</v>
      </c>
      <c r="J27" s="22">
        <v>0.8534856</v>
      </c>
      <c r="K27" s="22">
        <v>0.0542737</v>
      </c>
      <c r="L27" s="22">
        <v>0.077461</v>
      </c>
      <c r="M27" s="54">
        <f t="shared" si="4"/>
        <v>0.7760246</v>
      </c>
      <c r="N27" s="54">
        <f>M27*TableB15!$J24/TableB15!$F24</f>
        <v>0.11301022759408036</v>
      </c>
      <c r="O27" s="54">
        <f t="shared" si="5"/>
        <v>1.2030119</v>
      </c>
      <c r="P27" s="239">
        <f t="shared" si="5"/>
        <v>0.17519115839547747</v>
      </c>
    </row>
    <row r="28" spans="1:16" ht="15">
      <c r="A28" s="389" t="s">
        <v>299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2"/>
    </row>
    <row r="29" spans="1:16" ht="1.5" customHeight="1">
      <c r="A29" s="130"/>
      <c r="B29" s="6" t="s">
        <v>294</v>
      </c>
      <c r="C29" s="6" t="s">
        <v>295</v>
      </c>
      <c r="D29" s="6" t="s">
        <v>513</v>
      </c>
      <c r="E29" s="6" t="s">
        <v>296</v>
      </c>
      <c r="F29" s="6" t="s">
        <v>297</v>
      </c>
      <c r="G29" s="6"/>
      <c r="H29" s="6"/>
      <c r="I29" s="6" t="s">
        <v>549</v>
      </c>
      <c r="J29" s="6" t="s">
        <v>550</v>
      </c>
      <c r="K29" s="238" t="s">
        <v>551</v>
      </c>
      <c r="L29" s="80" t="s">
        <v>552</v>
      </c>
      <c r="M29" s="80"/>
      <c r="N29" s="80"/>
      <c r="O29" s="80"/>
      <c r="P29" s="234"/>
    </row>
    <row r="30" spans="1:16" ht="15">
      <c r="A30" s="132">
        <v>1872</v>
      </c>
      <c r="B30" s="22">
        <v>0.3998101</v>
      </c>
      <c r="C30" s="22">
        <v>0.9042949</v>
      </c>
      <c r="D30" s="22">
        <v>0.4586895</v>
      </c>
      <c r="E30" s="22">
        <v>0.008547</v>
      </c>
      <c r="F30" s="22">
        <v>0.0086426</v>
      </c>
      <c r="G30" s="54">
        <f aca="true" t="shared" si="6" ref="G30:G36">C30-F30</f>
        <v>0.8956523000000001</v>
      </c>
      <c r="H30" s="54">
        <f>G30*TableB15!$J27/TableB15!$F27</f>
        <v>0.14824654042901506</v>
      </c>
      <c r="I30" s="22">
        <v>0.3504274</v>
      </c>
      <c r="J30" s="22">
        <v>0.5278958</v>
      </c>
      <c r="K30" s="22">
        <v>0.017094</v>
      </c>
      <c r="L30" s="22">
        <v>0.0262879</v>
      </c>
      <c r="M30" s="54">
        <f aca="true" t="shared" si="7" ref="M30:M36">J30-L30</f>
        <v>0.5016079</v>
      </c>
      <c r="N30" s="54">
        <f>M30*TableB15!$J27/TableB15!$F27</f>
        <v>0.08302511569150588</v>
      </c>
      <c r="O30" s="54">
        <f aca="true" t="shared" si="8" ref="O30:P36">G30+M30</f>
        <v>1.3972602</v>
      </c>
      <c r="P30" s="239">
        <f t="shared" si="8"/>
        <v>0.23127165612052092</v>
      </c>
    </row>
    <row r="31" spans="1:16" ht="15">
      <c r="A31" s="132">
        <v>1882</v>
      </c>
      <c r="B31" s="22">
        <v>0.4679902</v>
      </c>
      <c r="C31" s="22">
        <v>0.6624829</v>
      </c>
      <c r="D31" s="22">
        <v>0.5324715</v>
      </c>
      <c r="E31" s="22">
        <v>0.0560172</v>
      </c>
      <c r="F31" s="22">
        <v>0.0632388</v>
      </c>
      <c r="G31" s="54">
        <f>C31-F31</f>
        <v>0.5992441</v>
      </c>
      <c r="H31" s="54">
        <f>G31*TableB15!$J28/TableB15!$F28</f>
        <v>0.15322688483679367</v>
      </c>
      <c r="I31" s="22">
        <v>0.3746537</v>
      </c>
      <c r="J31" s="22">
        <v>0.5639035</v>
      </c>
      <c r="K31" s="22">
        <v>0.0728686</v>
      </c>
      <c r="L31" s="22">
        <v>0.1082612</v>
      </c>
      <c r="M31" s="54">
        <f>J31-L31</f>
        <v>0.4556423</v>
      </c>
      <c r="N31" s="54">
        <f>M31*TableB15!$J28/TableB15!$F28</f>
        <v>0.11650786420570816</v>
      </c>
      <c r="O31" s="54">
        <f>G31+M31</f>
        <v>1.0548864</v>
      </c>
      <c r="P31" s="239">
        <f>H31+N31</f>
        <v>0.26973474904250183</v>
      </c>
    </row>
    <row r="32" spans="1:16" ht="15">
      <c r="A32" s="132">
        <v>1912</v>
      </c>
      <c r="B32" s="22">
        <v>0.3169985</v>
      </c>
      <c r="C32" s="22">
        <v>0.5799353</v>
      </c>
      <c r="D32" s="22">
        <v>0.4257274</v>
      </c>
      <c r="E32" s="22">
        <v>0.1684533</v>
      </c>
      <c r="F32" s="22">
        <v>0.2293515</v>
      </c>
      <c r="G32" s="54">
        <f t="shared" si="6"/>
        <v>0.3505838</v>
      </c>
      <c r="H32" s="54">
        <f>G32*TableB15!$J29/TableB15!$F29</f>
        <v>0.13134276745291654</v>
      </c>
      <c r="I32" s="22">
        <v>0.2764165</v>
      </c>
      <c r="J32" s="22">
        <v>0.4001569</v>
      </c>
      <c r="K32" s="22">
        <v>0.1018377</v>
      </c>
      <c r="L32" s="22">
        <v>0.0721318</v>
      </c>
      <c r="M32" s="54">
        <f t="shared" si="7"/>
        <v>0.32802509999999996</v>
      </c>
      <c r="N32" s="54">
        <f>M32*TableB15!$J29/TableB15!$F29</f>
        <v>0.1228913726989658</v>
      </c>
      <c r="O32" s="54">
        <f t="shared" si="8"/>
        <v>0.6786089</v>
      </c>
      <c r="P32" s="239">
        <f t="shared" si="8"/>
        <v>0.25423414015188234</v>
      </c>
    </row>
    <row r="33" spans="1:16" ht="15">
      <c r="A33" s="132">
        <v>1922</v>
      </c>
      <c r="B33" s="22">
        <v>0.370319</v>
      </c>
      <c r="C33" s="22">
        <v>0.6640049</v>
      </c>
      <c r="D33" s="22">
        <v>0.4882108</v>
      </c>
      <c r="E33" s="22">
        <v>0.1220527</v>
      </c>
      <c r="F33" s="22">
        <v>0.155833</v>
      </c>
      <c r="G33" s="54">
        <f t="shared" si="6"/>
        <v>0.5081719</v>
      </c>
      <c r="H33" s="54">
        <f>G33*TableB15!$J30/TableB15!$F30</f>
        <v>0.14988446640318</v>
      </c>
      <c r="I33" s="22">
        <v>0.3072122</v>
      </c>
      <c r="J33" s="22">
        <v>0.6628683</v>
      </c>
      <c r="K33" s="22">
        <v>0.1019417</v>
      </c>
      <c r="L33" s="22">
        <v>0.1314683</v>
      </c>
      <c r="M33" s="54">
        <f t="shared" si="7"/>
        <v>0.5314</v>
      </c>
      <c r="N33" s="54">
        <f>M33*TableB15!$J30/TableB15!$F30</f>
        <v>0.15673555630811123</v>
      </c>
      <c r="O33" s="54">
        <f t="shared" si="8"/>
        <v>1.0395718999999999</v>
      </c>
      <c r="P33" s="239">
        <f t="shared" si="8"/>
        <v>0.30662002271129124</v>
      </c>
    </row>
    <row r="34" spans="1:16" ht="15">
      <c r="A34" s="132">
        <v>1927</v>
      </c>
      <c r="B34" s="22">
        <v>0.3248299</v>
      </c>
      <c r="C34" s="22">
        <v>0.4933298</v>
      </c>
      <c r="D34" s="22">
        <v>0.4379252</v>
      </c>
      <c r="E34" s="22">
        <v>0.1352041</v>
      </c>
      <c r="F34" s="22">
        <v>0.0951902</v>
      </c>
      <c r="G34" s="54">
        <f t="shared" si="6"/>
        <v>0.3981396</v>
      </c>
      <c r="H34" s="54">
        <f>G34*TableB15!$J31/TableB15!$F31</f>
        <v>0.0731056422669363</v>
      </c>
      <c r="I34" s="22">
        <v>0.2823129</v>
      </c>
      <c r="J34" s="22">
        <v>0.5137314</v>
      </c>
      <c r="K34" s="22">
        <v>0.077381</v>
      </c>
      <c r="L34" s="22">
        <v>0.0603986</v>
      </c>
      <c r="M34" s="54">
        <f t="shared" si="7"/>
        <v>0.4533328</v>
      </c>
      <c r="N34" s="54">
        <f>M34*TableB15!$J31/TableB15!$F31</f>
        <v>0.08324011352969808</v>
      </c>
      <c r="O34" s="54">
        <f t="shared" si="8"/>
        <v>0.8514724</v>
      </c>
      <c r="P34" s="239">
        <f t="shared" si="8"/>
        <v>0.1563457557966344</v>
      </c>
    </row>
    <row r="35" spans="1:16" ht="15">
      <c r="A35" s="132">
        <v>1932</v>
      </c>
      <c r="B35" s="22">
        <v>0.260355</v>
      </c>
      <c r="C35" s="22">
        <v>0.4997302</v>
      </c>
      <c r="D35" s="22">
        <v>0.4411571</v>
      </c>
      <c r="E35" s="22">
        <v>0.0644313</v>
      </c>
      <c r="F35" s="22">
        <v>0.0446747</v>
      </c>
      <c r="G35" s="54">
        <f t="shared" si="6"/>
        <v>0.4550555</v>
      </c>
      <c r="H35" s="54">
        <f>G35*TableB15!$J32/TableB15!$F32</f>
        <v>0.10460243359370298</v>
      </c>
      <c r="I35" s="22">
        <v>0.2399737</v>
      </c>
      <c r="J35" s="22">
        <v>0.4391004</v>
      </c>
      <c r="K35" s="22">
        <v>0.0394477</v>
      </c>
      <c r="L35" s="22">
        <v>0.0298952</v>
      </c>
      <c r="M35" s="54">
        <f t="shared" si="7"/>
        <v>0.4092052</v>
      </c>
      <c r="N35" s="54">
        <f>M35*TableB15!$J32/TableB15!$F32</f>
        <v>0.09406294344139988</v>
      </c>
      <c r="O35" s="54">
        <f t="shared" si="8"/>
        <v>0.8642607</v>
      </c>
      <c r="P35" s="239">
        <f t="shared" si="8"/>
        <v>0.19866537703510287</v>
      </c>
    </row>
    <row r="36" spans="1:16" ht="15.75" thickBot="1">
      <c r="A36" s="135">
        <v>1937</v>
      </c>
      <c r="B36" s="126">
        <v>0.260274</v>
      </c>
      <c r="C36" s="126">
        <v>0.5869091</v>
      </c>
      <c r="D36" s="126">
        <v>0.4271482</v>
      </c>
      <c r="E36" s="126">
        <v>0.0622665</v>
      </c>
      <c r="F36" s="126">
        <v>0.1656302</v>
      </c>
      <c r="G36" s="241">
        <f t="shared" si="6"/>
        <v>0.42127889999999996</v>
      </c>
      <c r="H36" s="241">
        <f>G36*TableB15!$J33/TableB15!$F33</f>
        <v>0.0549006200389929</v>
      </c>
      <c r="I36" s="126">
        <v>0.2334994</v>
      </c>
      <c r="J36" s="126">
        <v>1.92569</v>
      </c>
      <c r="K36" s="126">
        <v>0.0622665</v>
      </c>
      <c r="L36" s="126">
        <v>0.1983291</v>
      </c>
      <c r="M36" s="241">
        <f t="shared" si="7"/>
        <v>1.7273608999999999</v>
      </c>
      <c r="N36" s="241">
        <f>M36*TableB15!$J33/TableB15!$F33</f>
        <v>0.22510784290671296</v>
      </c>
      <c r="O36" s="241">
        <f t="shared" si="8"/>
        <v>2.1486397999999998</v>
      </c>
      <c r="P36" s="242">
        <f t="shared" si="8"/>
        <v>0.28000846294570586</v>
      </c>
    </row>
    <row r="37" spans="1:16" ht="15.75" thickBot="1" thickTop="1">
      <c r="A37" s="327" t="s">
        <v>554</v>
      </c>
      <c r="B37" s="328"/>
      <c r="C37" s="328"/>
      <c r="D37" s="328"/>
      <c r="E37" s="328"/>
      <c r="F37" s="328"/>
      <c r="G37" s="328"/>
      <c r="H37" s="328"/>
      <c r="I37" s="393"/>
      <c r="J37" s="393"/>
      <c r="K37" s="393"/>
      <c r="L37" s="393"/>
      <c r="M37" s="393"/>
      <c r="N37" s="393"/>
      <c r="O37" s="393"/>
      <c r="P37" s="313"/>
    </row>
    <row r="38" ht="15" thickTop="1"/>
  </sheetData>
  <mergeCells count="25">
    <mergeCell ref="A10:P10"/>
    <mergeCell ref="K8:K9"/>
    <mergeCell ref="G8:G9"/>
    <mergeCell ref="J8:J9"/>
    <mergeCell ref="O8:O9"/>
    <mergeCell ref="A3:P3"/>
    <mergeCell ref="B4:P4"/>
    <mergeCell ref="C8:C9"/>
    <mergeCell ref="L8:L9"/>
    <mergeCell ref="M8:M9"/>
    <mergeCell ref="A8:A9"/>
    <mergeCell ref="B8:B9"/>
    <mergeCell ref="E8:E9"/>
    <mergeCell ref="H8:H9"/>
    <mergeCell ref="I8:I9"/>
    <mergeCell ref="A37:P37"/>
    <mergeCell ref="B5:H7"/>
    <mergeCell ref="I5:N7"/>
    <mergeCell ref="O5:P7"/>
    <mergeCell ref="D8:D9"/>
    <mergeCell ref="P8:P9"/>
    <mergeCell ref="N8:N9"/>
    <mergeCell ref="A19:P19"/>
    <mergeCell ref="A28:P28"/>
    <mergeCell ref="F8:F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6" topLeftCell="BM7" activePane="bottomLeft" state="frozen"/>
      <selection pane="topLeft" activeCell="A1" sqref="A1"/>
      <selection pane="bottomLeft" activeCell="A3" sqref="A3:P34"/>
    </sheetView>
  </sheetViews>
  <sheetFormatPr defaultColWidth="11.5546875" defaultRowHeight="15"/>
  <cols>
    <col min="1" max="5" width="7.77734375" style="0" customWidth="1"/>
    <col min="6" max="13" width="5.77734375" style="0" customWidth="1"/>
    <col min="14" max="16" width="7.77734375" style="0" customWidth="1"/>
    <col min="17" max="17" width="7.335937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34.5" customHeight="1" thickTop="1">
      <c r="A3" s="370" t="s">
        <v>555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2"/>
      <c r="O3" s="372"/>
      <c r="P3" s="373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47"/>
      <c r="O4" s="47"/>
      <c r="P4" s="166"/>
    </row>
    <row r="5" spans="1:16" ht="64.5" customHeight="1">
      <c r="A5" s="389"/>
      <c r="B5" s="437" t="s">
        <v>325</v>
      </c>
      <c r="C5" s="437" t="s">
        <v>324</v>
      </c>
      <c r="D5" s="437" t="s">
        <v>174</v>
      </c>
      <c r="E5" s="437" t="s">
        <v>326</v>
      </c>
      <c r="F5" s="457" t="s">
        <v>327</v>
      </c>
      <c r="G5" s="398"/>
      <c r="H5" s="398"/>
      <c r="I5" s="398"/>
      <c r="J5" s="398"/>
      <c r="K5" s="398"/>
      <c r="L5" s="398"/>
      <c r="M5" s="398"/>
      <c r="N5" s="358" t="s">
        <v>331</v>
      </c>
      <c r="O5" s="351"/>
      <c r="P5" s="362"/>
    </row>
    <row r="6" spans="1:16" ht="19.5" customHeight="1">
      <c r="A6" s="390"/>
      <c r="B6" s="438"/>
      <c r="C6" s="438"/>
      <c r="D6" s="438"/>
      <c r="E6" s="438"/>
      <c r="F6" s="82">
        <v>0</v>
      </c>
      <c r="G6" s="82">
        <v>0.01</v>
      </c>
      <c r="H6" s="82">
        <v>0.02</v>
      </c>
      <c r="I6" s="82">
        <v>0.03</v>
      </c>
      <c r="J6" s="82">
        <v>0.04</v>
      </c>
      <c r="K6" s="82">
        <v>0.05</v>
      </c>
      <c r="L6" s="82">
        <v>0.06</v>
      </c>
      <c r="M6" s="82">
        <v>0.07</v>
      </c>
      <c r="N6" s="9" t="s">
        <v>300</v>
      </c>
      <c r="O6" s="165" t="s">
        <v>182</v>
      </c>
      <c r="P6" s="243" t="s">
        <v>181</v>
      </c>
    </row>
    <row r="7" spans="1:16" ht="18" customHeight="1">
      <c r="A7" s="390" t="s">
        <v>261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1"/>
      <c r="O7" s="461"/>
      <c r="P7" s="462"/>
    </row>
    <row r="8" spans="1:16" ht="1.5" customHeight="1">
      <c r="A8" s="130"/>
      <c r="B8" s="6" t="s">
        <v>61</v>
      </c>
      <c r="C8" s="6" t="s">
        <v>264</v>
      </c>
      <c r="D8" s="6" t="s">
        <v>180</v>
      </c>
      <c r="E8" s="6" t="s">
        <v>553</v>
      </c>
      <c r="F8" s="80"/>
      <c r="G8" s="80"/>
      <c r="H8" s="80"/>
      <c r="I8" s="80"/>
      <c r="J8" s="80"/>
      <c r="K8" s="80"/>
      <c r="L8" s="80"/>
      <c r="M8" s="80"/>
      <c r="N8" s="238" t="s">
        <v>328</v>
      </c>
      <c r="O8" s="238" t="s">
        <v>329</v>
      </c>
      <c r="P8" s="244" t="s">
        <v>330</v>
      </c>
    </row>
    <row r="9" spans="1:16" ht="15" customHeight="1">
      <c r="A9" s="132">
        <v>1872</v>
      </c>
      <c r="B9" s="30">
        <v>65886.08</v>
      </c>
      <c r="C9" s="30">
        <v>66809.29</v>
      </c>
      <c r="D9" s="22">
        <v>1.014012</v>
      </c>
      <c r="E9" s="30">
        <v>30270.26</v>
      </c>
      <c r="F9" s="245">
        <f aca="true" t="shared" si="0" ref="F9:F15">($E9*(1+F$6)^30)/$C9</f>
        <v>0.4530845934749494</v>
      </c>
      <c r="G9" s="68">
        <f aca="true" t="shared" si="1" ref="G9:M15">($E9*(1+G$6)^30)/$C9</f>
        <v>0.6106895778692614</v>
      </c>
      <c r="H9" s="68">
        <f t="shared" si="1"/>
        <v>0.8207000269696083</v>
      </c>
      <c r="I9" s="68">
        <f t="shared" si="1"/>
        <v>1.0997552300159676</v>
      </c>
      <c r="J9" s="245">
        <f t="shared" si="1"/>
        <v>1.469533442308492</v>
      </c>
      <c r="K9" s="245">
        <f t="shared" si="1"/>
        <v>1.958205504067295</v>
      </c>
      <c r="L9" s="68">
        <f t="shared" si="1"/>
        <v>2.6022873632063646</v>
      </c>
      <c r="M9" s="68">
        <f t="shared" si="1"/>
        <v>3.4489954814321595</v>
      </c>
      <c r="N9" s="235">
        <v>0.3561776</v>
      </c>
      <c r="O9" s="235">
        <v>0.4100306</v>
      </c>
      <c r="P9" s="246">
        <v>0.5121604</v>
      </c>
    </row>
    <row r="10" spans="1:16" ht="15" customHeight="1">
      <c r="A10" s="132">
        <v>1882</v>
      </c>
      <c r="B10" s="30">
        <v>75440.72</v>
      </c>
      <c r="C10" s="30">
        <v>78645.05</v>
      </c>
      <c r="D10" s="22">
        <v>1.042475</v>
      </c>
      <c r="E10" s="30">
        <v>34553.34</v>
      </c>
      <c r="F10" s="245">
        <f t="shared" si="0"/>
        <v>0.4393581032754127</v>
      </c>
      <c r="G10" s="68">
        <f t="shared" si="1"/>
        <v>0.592188342942488</v>
      </c>
      <c r="H10" s="68">
        <f t="shared" si="1"/>
        <v>0.7958363899375963</v>
      </c>
      <c r="I10" s="68">
        <f t="shared" si="1"/>
        <v>1.0664374354934798</v>
      </c>
      <c r="J10" s="245">
        <f t="shared" si="1"/>
        <v>1.4250129781738974</v>
      </c>
      <c r="K10" s="245">
        <f t="shared" si="1"/>
        <v>1.8988804044118275</v>
      </c>
      <c r="L10" s="68">
        <f t="shared" si="1"/>
        <v>2.523449387910245</v>
      </c>
      <c r="M10" s="68">
        <f t="shared" si="1"/>
        <v>3.344505937192685</v>
      </c>
      <c r="N10" s="235">
        <v>0.351965</v>
      </c>
      <c r="O10" s="235">
        <v>0.3957551</v>
      </c>
      <c r="P10" s="246">
        <v>0.486144</v>
      </c>
    </row>
    <row r="11" spans="1:16" ht="18" customHeight="1">
      <c r="A11" s="132">
        <v>1912</v>
      </c>
      <c r="B11" s="30">
        <v>116732.8</v>
      </c>
      <c r="C11" s="30">
        <v>117136.6</v>
      </c>
      <c r="D11" s="22">
        <v>1.00346</v>
      </c>
      <c r="E11" s="30">
        <v>65937.2</v>
      </c>
      <c r="F11" s="245">
        <f t="shared" si="0"/>
        <v>0.5629086041425139</v>
      </c>
      <c r="G11" s="68">
        <f t="shared" si="1"/>
        <v>0.7587157515250477</v>
      </c>
      <c r="H11" s="68">
        <f t="shared" si="1"/>
        <v>1.0196310209049915</v>
      </c>
      <c r="I11" s="68">
        <f t="shared" si="1"/>
        <v>1.3663269295448799</v>
      </c>
      <c r="J11" s="245">
        <f t="shared" si="1"/>
        <v>1.8257363650489091</v>
      </c>
      <c r="K11" s="245">
        <f t="shared" si="1"/>
        <v>2.4328585495804407</v>
      </c>
      <c r="L11" s="68">
        <f t="shared" si="1"/>
        <v>3.2330605990494528</v>
      </c>
      <c r="M11" s="68">
        <f t="shared" si="1"/>
        <v>4.285003860441696</v>
      </c>
      <c r="N11" s="235">
        <v>0.2561602</v>
      </c>
      <c r="O11" s="235">
        <v>0.4486072</v>
      </c>
      <c r="P11" s="246">
        <v>0.6432863</v>
      </c>
    </row>
    <row r="12" spans="1:16" ht="18" customHeight="1">
      <c r="A12" s="132">
        <v>1922</v>
      </c>
      <c r="B12" s="30">
        <v>111499.4</v>
      </c>
      <c r="C12" s="30">
        <v>113495.2</v>
      </c>
      <c r="D12" s="22">
        <v>1.0179</v>
      </c>
      <c r="E12" s="30">
        <v>62961.57</v>
      </c>
      <c r="F12" s="245">
        <f t="shared" si="0"/>
        <v>0.5547509498199042</v>
      </c>
      <c r="G12" s="68">
        <f t="shared" si="1"/>
        <v>0.7477204659946575</v>
      </c>
      <c r="H12" s="68">
        <f t="shared" si="1"/>
        <v>1.0048545592486218</v>
      </c>
      <c r="I12" s="68">
        <f t="shared" si="1"/>
        <v>1.3465261613546713</v>
      </c>
      <c r="J12" s="245">
        <f t="shared" si="1"/>
        <v>1.7992778493312918</v>
      </c>
      <c r="K12" s="245">
        <f t="shared" si="1"/>
        <v>2.3976016376817233</v>
      </c>
      <c r="L12" s="68">
        <f t="shared" si="1"/>
        <v>3.1862071834558665</v>
      </c>
      <c r="M12" s="68">
        <f t="shared" si="1"/>
        <v>4.2229057151881175</v>
      </c>
      <c r="N12" s="235">
        <v>0.4496864</v>
      </c>
      <c r="O12" s="235">
        <v>0.4856174</v>
      </c>
      <c r="P12" s="246">
        <v>0.653721</v>
      </c>
    </row>
    <row r="13" spans="1:16" ht="18" customHeight="1">
      <c r="A13" s="132">
        <v>1927</v>
      </c>
      <c r="B13" s="30">
        <v>187754.1</v>
      </c>
      <c r="C13" s="30">
        <v>183067.4</v>
      </c>
      <c r="D13" s="22">
        <v>0.9750378</v>
      </c>
      <c r="E13" s="30">
        <v>95467</v>
      </c>
      <c r="F13" s="245">
        <f t="shared" si="0"/>
        <v>0.5214855293733347</v>
      </c>
      <c r="G13" s="68">
        <f t="shared" si="1"/>
        <v>0.7028837051276555</v>
      </c>
      <c r="H13" s="68">
        <f t="shared" si="1"/>
        <v>0.9445988545726594</v>
      </c>
      <c r="I13" s="68">
        <f t="shared" si="1"/>
        <v>1.2657822547163677</v>
      </c>
      <c r="J13" s="245">
        <f t="shared" si="1"/>
        <v>1.6913848674848684</v>
      </c>
      <c r="K13" s="245">
        <f t="shared" si="1"/>
        <v>2.2538304074264905</v>
      </c>
      <c r="L13" s="68">
        <f t="shared" si="1"/>
        <v>2.995147534757746</v>
      </c>
      <c r="M13" s="68">
        <f t="shared" si="1"/>
        <v>3.9696808506474452</v>
      </c>
      <c r="N13" s="235">
        <v>0.3417069</v>
      </c>
      <c r="O13" s="235">
        <v>0.5578194</v>
      </c>
      <c r="P13" s="246">
        <v>0.490016</v>
      </c>
    </row>
    <row r="14" spans="1:16" ht="18" customHeight="1">
      <c r="A14" s="132">
        <v>1932</v>
      </c>
      <c r="B14" s="30">
        <v>191324.3</v>
      </c>
      <c r="C14" s="30">
        <v>189645.4</v>
      </c>
      <c r="D14" s="22">
        <v>0.9912248</v>
      </c>
      <c r="E14" s="30">
        <v>93793.8</v>
      </c>
      <c r="F14" s="245">
        <f t="shared" si="0"/>
        <v>0.4945746113536105</v>
      </c>
      <c r="G14" s="68">
        <f t="shared" si="1"/>
        <v>0.6666118534641576</v>
      </c>
      <c r="H14" s="68">
        <f t="shared" si="1"/>
        <v>0.8958534514787764</v>
      </c>
      <c r="I14" s="68">
        <f t="shared" si="1"/>
        <v>1.20046239334183</v>
      </c>
      <c r="J14" s="245">
        <f t="shared" si="1"/>
        <v>1.6041020629871399</v>
      </c>
      <c r="K14" s="245">
        <f t="shared" si="1"/>
        <v>2.137522970482839</v>
      </c>
      <c r="L14" s="68">
        <f t="shared" si="1"/>
        <v>2.8405849146564677</v>
      </c>
      <c r="M14" s="68">
        <f t="shared" si="1"/>
        <v>3.7648280792491353</v>
      </c>
      <c r="N14" s="235">
        <v>0.2925649</v>
      </c>
      <c r="O14" s="235">
        <v>0.4349605</v>
      </c>
      <c r="P14" s="246">
        <v>0.5571182</v>
      </c>
    </row>
    <row r="15" spans="1:16" ht="18" customHeight="1">
      <c r="A15" s="132">
        <v>1937</v>
      </c>
      <c r="B15" s="30">
        <v>184051.5</v>
      </c>
      <c r="C15" s="30">
        <v>174023.3</v>
      </c>
      <c r="D15" s="22">
        <v>0.9455146</v>
      </c>
      <c r="E15" s="30">
        <v>83275.47</v>
      </c>
      <c r="F15" s="245">
        <f t="shared" si="0"/>
        <v>0.47853057607803096</v>
      </c>
      <c r="G15" s="68">
        <f t="shared" si="1"/>
        <v>0.6449869179204049</v>
      </c>
      <c r="H15" s="68">
        <f t="shared" si="1"/>
        <v>0.8667919023265925</v>
      </c>
      <c r="I15" s="68">
        <f t="shared" si="1"/>
        <v>1.1615193086309725</v>
      </c>
      <c r="J15" s="245">
        <f t="shared" si="1"/>
        <v>1.5520648789235312</v>
      </c>
      <c r="K15" s="245">
        <f t="shared" si="1"/>
        <v>2.0681815745569</v>
      </c>
      <c r="L15" s="68">
        <f t="shared" si="1"/>
        <v>2.748436139673268</v>
      </c>
      <c r="M15" s="68">
        <f t="shared" si="1"/>
        <v>3.6426967908179577</v>
      </c>
      <c r="N15" s="235">
        <v>0.4850759</v>
      </c>
      <c r="O15" s="235">
        <v>0.4406938</v>
      </c>
      <c r="P15" s="246">
        <v>0.4876738</v>
      </c>
    </row>
    <row r="16" spans="1:16" ht="18" customHeight="1">
      <c r="A16" s="390" t="s">
        <v>262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1"/>
      <c r="O16" s="461"/>
      <c r="P16" s="462"/>
    </row>
    <row r="17" spans="1:16" ht="1.5" customHeight="1">
      <c r="A17" s="130"/>
      <c r="B17" s="6" t="s">
        <v>61</v>
      </c>
      <c r="C17" s="6" t="s">
        <v>264</v>
      </c>
      <c r="D17" s="6" t="s">
        <v>180</v>
      </c>
      <c r="E17" s="6" t="s">
        <v>553</v>
      </c>
      <c r="F17" s="80"/>
      <c r="G17" s="80"/>
      <c r="H17" s="80"/>
      <c r="I17" s="80"/>
      <c r="J17" s="80"/>
      <c r="K17" s="80"/>
      <c r="L17" s="80"/>
      <c r="M17" s="80"/>
      <c r="N17" s="47" t="s">
        <v>328</v>
      </c>
      <c r="O17" s="47" t="s">
        <v>329</v>
      </c>
      <c r="P17" s="166" t="s">
        <v>330</v>
      </c>
    </row>
    <row r="18" spans="1:16" ht="18" customHeight="1">
      <c r="A18" s="132">
        <v>1872</v>
      </c>
      <c r="B18" s="30">
        <v>72648.46</v>
      </c>
      <c r="C18" s="30">
        <v>74162.05</v>
      </c>
      <c r="D18" s="22">
        <v>1.020834</v>
      </c>
      <c r="E18" s="30">
        <v>34317.59</v>
      </c>
      <c r="F18" s="245">
        <f aca="true" t="shared" si="2" ref="F18:M18">($E18*(1+F$6)^35)/$C18</f>
        <v>0.46273788278506317</v>
      </c>
      <c r="G18" s="68">
        <f t="shared" si="2"/>
        <v>0.6555157600733944</v>
      </c>
      <c r="H18" s="68">
        <f t="shared" si="2"/>
        <v>0.9254246574029914</v>
      </c>
      <c r="I18" s="68">
        <f t="shared" si="2"/>
        <v>1.3020807545842599</v>
      </c>
      <c r="J18" s="245">
        <f t="shared" si="2"/>
        <v>1.826004866463074</v>
      </c>
      <c r="K18" s="245">
        <f t="shared" si="2"/>
        <v>2.55246927260951</v>
      </c>
      <c r="L18" s="245">
        <f t="shared" si="2"/>
        <v>3.5566435291768546</v>
      </c>
      <c r="M18" s="68">
        <f t="shared" si="2"/>
        <v>4.940458711573153</v>
      </c>
      <c r="N18" s="235">
        <v>0.3439288</v>
      </c>
      <c r="O18" s="235">
        <v>0.4117681</v>
      </c>
      <c r="P18" s="246">
        <v>0.5222799</v>
      </c>
    </row>
    <row r="19" spans="1:16" ht="18" customHeight="1">
      <c r="A19" s="132">
        <v>1882</v>
      </c>
      <c r="B19" s="30">
        <v>80300.34</v>
      </c>
      <c r="C19" s="30">
        <v>84768.57</v>
      </c>
      <c r="D19" s="22">
        <v>1.055644</v>
      </c>
      <c r="E19" s="30">
        <v>34107.21</v>
      </c>
      <c r="F19" s="245">
        <f aca="true" t="shared" si="3" ref="F19:M24">($E19*(1+F$6)^35)/$C19</f>
        <v>0.4023567933256394</v>
      </c>
      <c r="G19" s="68">
        <f t="shared" si="3"/>
        <v>0.5699797423330041</v>
      </c>
      <c r="H19" s="68">
        <f t="shared" si="3"/>
        <v>0.8046691474147127</v>
      </c>
      <c r="I19" s="68">
        <f t="shared" si="3"/>
        <v>1.1321766740003392</v>
      </c>
      <c r="J19" s="245">
        <f t="shared" si="3"/>
        <v>1.5877357138887151</v>
      </c>
      <c r="K19" s="245">
        <f t="shared" si="3"/>
        <v>2.2194062552393663</v>
      </c>
      <c r="L19" s="245">
        <f t="shared" si="3"/>
        <v>3.092549234977347</v>
      </c>
      <c r="M19" s="68">
        <f t="shared" si="3"/>
        <v>4.2957950898297605</v>
      </c>
      <c r="N19" s="235">
        <v>0.2400142</v>
      </c>
      <c r="O19" s="235">
        <v>0.3819131</v>
      </c>
      <c r="P19" s="246">
        <v>0.4287545</v>
      </c>
    </row>
    <row r="20" spans="1:16" ht="18" customHeight="1">
      <c r="A20" s="132">
        <v>1912</v>
      </c>
      <c r="B20" s="30">
        <v>123704.6</v>
      </c>
      <c r="C20" s="30">
        <v>124811</v>
      </c>
      <c r="D20" s="22">
        <v>1.008944</v>
      </c>
      <c r="E20" s="30">
        <v>69650.09</v>
      </c>
      <c r="F20" s="245">
        <f t="shared" si="3"/>
        <v>0.558044483258687</v>
      </c>
      <c r="G20" s="68">
        <f t="shared" si="3"/>
        <v>0.790527352972301</v>
      </c>
      <c r="H20" s="68">
        <f t="shared" si="3"/>
        <v>1.1160273319899665</v>
      </c>
      <c r="I20" s="68">
        <f t="shared" si="3"/>
        <v>1.5702604193107772</v>
      </c>
      <c r="J20" s="245">
        <f t="shared" si="3"/>
        <v>2.2020931936677965</v>
      </c>
      <c r="K20" s="245">
        <f t="shared" si="3"/>
        <v>3.078181945454995</v>
      </c>
      <c r="L20" s="245">
        <f t="shared" si="3"/>
        <v>4.289178332297365</v>
      </c>
      <c r="M20" s="68">
        <f t="shared" si="3"/>
        <v>5.958007397551486</v>
      </c>
      <c r="N20" s="235">
        <v>0.2439318</v>
      </c>
      <c r="O20" s="235">
        <v>0.442618</v>
      </c>
      <c r="P20" s="246">
        <v>0.632646</v>
      </c>
    </row>
    <row r="21" spans="1:16" ht="18" customHeight="1">
      <c r="A21" s="132">
        <v>1922</v>
      </c>
      <c r="B21" s="30">
        <v>110611.3</v>
      </c>
      <c r="C21" s="30">
        <v>110640.1</v>
      </c>
      <c r="D21" s="22">
        <v>1.00026</v>
      </c>
      <c r="E21" s="30">
        <v>52054.84</v>
      </c>
      <c r="F21" s="245">
        <f t="shared" si="3"/>
        <v>0.47048800570498395</v>
      </c>
      <c r="G21" s="68">
        <f t="shared" si="3"/>
        <v>0.6664946055613352</v>
      </c>
      <c r="H21" s="68">
        <f t="shared" si="3"/>
        <v>0.9409240472623908</v>
      </c>
      <c r="I21" s="68">
        <f t="shared" si="3"/>
        <v>1.323888534485389</v>
      </c>
      <c r="J21" s="245">
        <f t="shared" si="3"/>
        <v>1.8565875412211632</v>
      </c>
      <c r="K21" s="245">
        <f t="shared" si="3"/>
        <v>2.595219069736522</v>
      </c>
      <c r="L21" s="245">
        <f t="shared" si="3"/>
        <v>3.616211646590455</v>
      </c>
      <c r="M21" s="68">
        <f t="shared" si="3"/>
        <v>5.023203530443472</v>
      </c>
      <c r="N21" s="235">
        <v>0.4674082</v>
      </c>
      <c r="O21" s="235">
        <v>0.3978643</v>
      </c>
      <c r="P21" s="246">
        <v>0.5732628</v>
      </c>
    </row>
    <row r="22" spans="1:16" ht="18" customHeight="1">
      <c r="A22" s="132">
        <v>1927</v>
      </c>
      <c r="B22" s="30">
        <v>178464.6</v>
      </c>
      <c r="C22" s="30">
        <v>170888.5</v>
      </c>
      <c r="D22" s="22">
        <v>0.9575486</v>
      </c>
      <c r="E22" s="30">
        <v>87578.34</v>
      </c>
      <c r="F22" s="245">
        <f t="shared" si="3"/>
        <v>0.5124882013710694</v>
      </c>
      <c r="G22" s="68">
        <f t="shared" si="3"/>
        <v>0.7259921984957645</v>
      </c>
      <c r="H22" s="68">
        <f t="shared" si="3"/>
        <v>1.0249197997847739</v>
      </c>
      <c r="I22" s="68">
        <f t="shared" si="3"/>
        <v>1.4420713081464445</v>
      </c>
      <c r="J22" s="245">
        <f t="shared" si="3"/>
        <v>2.022324051093851</v>
      </c>
      <c r="K22" s="245">
        <f t="shared" si="3"/>
        <v>2.8268927944725313</v>
      </c>
      <c r="L22" s="245">
        <f t="shared" si="3"/>
        <v>3.939028795774089</v>
      </c>
      <c r="M22" s="68">
        <f t="shared" si="3"/>
        <v>5.471622041842227</v>
      </c>
      <c r="N22" s="235">
        <v>0.366892</v>
      </c>
      <c r="O22" s="235">
        <v>0.5248643</v>
      </c>
      <c r="P22" s="246">
        <v>0.4890721</v>
      </c>
    </row>
    <row r="23" spans="1:16" ht="18" customHeight="1">
      <c r="A23" s="132">
        <v>1932</v>
      </c>
      <c r="B23" s="30">
        <v>203360.5</v>
      </c>
      <c r="C23" s="30">
        <v>198141.2</v>
      </c>
      <c r="D23" s="22">
        <v>0.9743345</v>
      </c>
      <c r="E23" s="30">
        <v>90069.98</v>
      </c>
      <c r="F23" s="245">
        <f t="shared" si="3"/>
        <v>0.4545747174237362</v>
      </c>
      <c r="G23" s="68">
        <f t="shared" si="3"/>
        <v>0.6439517975245995</v>
      </c>
      <c r="H23" s="68">
        <f t="shared" si="3"/>
        <v>0.9090992282802174</v>
      </c>
      <c r="I23" s="68">
        <f t="shared" si="3"/>
        <v>1.2791107300651956</v>
      </c>
      <c r="J23" s="245">
        <f t="shared" si="3"/>
        <v>1.7937922894728093</v>
      </c>
      <c r="K23" s="245">
        <f t="shared" si="3"/>
        <v>2.5074411270282337</v>
      </c>
      <c r="L23" s="245">
        <f t="shared" si="3"/>
        <v>3.4939007317096973</v>
      </c>
      <c r="M23" s="68">
        <f t="shared" si="3"/>
        <v>4.853304011420555</v>
      </c>
      <c r="N23" s="235">
        <v>0.2990606</v>
      </c>
      <c r="O23" s="235">
        <v>0.434151</v>
      </c>
      <c r="P23" s="246">
        <v>0.4568425</v>
      </c>
    </row>
    <row r="24" spans="1:16" ht="18" customHeight="1">
      <c r="A24" s="132">
        <v>1937</v>
      </c>
      <c r="B24" s="30">
        <v>192913.5</v>
      </c>
      <c r="C24" s="30">
        <v>190454.5</v>
      </c>
      <c r="D24" s="22">
        <v>0.9872537</v>
      </c>
      <c r="E24" s="30">
        <v>87419.38</v>
      </c>
      <c r="F24" s="245">
        <f t="shared" si="3"/>
        <v>0.4590040140821036</v>
      </c>
      <c r="G24" s="68">
        <f t="shared" si="3"/>
        <v>0.650226351378123</v>
      </c>
      <c r="H24" s="68">
        <f t="shared" si="3"/>
        <v>0.9179573323929292</v>
      </c>
      <c r="I24" s="68">
        <f t="shared" si="3"/>
        <v>1.2915741616314491</v>
      </c>
      <c r="J24" s="245">
        <f t="shared" si="3"/>
        <v>1.811270688268493</v>
      </c>
      <c r="K24" s="245">
        <f t="shared" si="3"/>
        <v>2.5318731954634135</v>
      </c>
      <c r="L24" s="245">
        <f t="shared" si="3"/>
        <v>3.5279446902548086</v>
      </c>
      <c r="M24" s="68">
        <f t="shared" si="3"/>
        <v>4.90059375811315</v>
      </c>
      <c r="N24" s="235">
        <v>0.256443</v>
      </c>
      <c r="O24" s="235">
        <v>0.4177396</v>
      </c>
      <c r="P24" s="246">
        <v>0.4972182</v>
      </c>
    </row>
    <row r="25" spans="1:16" ht="15" customHeight="1">
      <c r="A25" s="389" t="s">
        <v>263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58"/>
      <c r="O25" s="458"/>
      <c r="P25" s="459"/>
    </row>
    <row r="26" spans="1:16" ht="1.5" customHeight="1">
      <c r="A26" s="130"/>
      <c r="B26" s="6" t="s">
        <v>61</v>
      </c>
      <c r="C26" s="6" t="s">
        <v>264</v>
      </c>
      <c r="D26" s="6" t="s">
        <v>180</v>
      </c>
      <c r="E26" s="6" t="s">
        <v>553</v>
      </c>
      <c r="F26" s="80"/>
      <c r="G26" s="80"/>
      <c r="H26" s="80"/>
      <c r="I26" s="80"/>
      <c r="J26" s="80"/>
      <c r="K26" s="80"/>
      <c r="L26" s="80"/>
      <c r="M26" s="80"/>
      <c r="N26" s="47" t="s">
        <v>328</v>
      </c>
      <c r="O26" s="47" t="s">
        <v>329</v>
      </c>
      <c r="P26" s="166" t="s">
        <v>330</v>
      </c>
    </row>
    <row r="27" spans="1:16" ht="18" customHeight="1">
      <c r="A27" s="132">
        <v>1872</v>
      </c>
      <c r="B27" s="30">
        <v>55000.76</v>
      </c>
      <c r="C27" s="30">
        <v>54973.66</v>
      </c>
      <c r="D27" s="22">
        <v>0.9995073</v>
      </c>
      <c r="E27" s="30">
        <v>23755.34</v>
      </c>
      <c r="F27" s="245">
        <f aca="true" t="shared" si="4" ref="F27:M27">($E27*(1+F$6)^35)/$C27</f>
        <v>0.4321222199868082</v>
      </c>
      <c r="G27" s="68">
        <f t="shared" si="4"/>
        <v>0.6121455277756624</v>
      </c>
      <c r="H27" s="68">
        <f t="shared" si="4"/>
        <v>0.8641967132249248</v>
      </c>
      <c r="I27" s="68">
        <f t="shared" si="4"/>
        <v>1.215932490520551</v>
      </c>
      <c r="J27" s="245">
        <f t="shared" si="4"/>
        <v>1.7051927364443762</v>
      </c>
      <c r="K27" s="245">
        <f t="shared" si="4"/>
        <v>2.3835928061253133</v>
      </c>
      <c r="L27" s="245">
        <f t="shared" si="4"/>
        <v>3.321328887705299</v>
      </c>
      <c r="M27" s="68">
        <f t="shared" si="4"/>
        <v>4.6135880930020745</v>
      </c>
      <c r="N27" s="235">
        <v>0.379756</v>
      </c>
      <c r="O27" s="235">
        <v>0.4070626</v>
      </c>
      <c r="P27" s="246">
        <v>0.4818544</v>
      </c>
    </row>
    <row r="28" spans="1:16" ht="18" customHeight="1">
      <c r="A28" s="132">
        <v>1882</v>
      </c>
      <c r="B28" s="30">
        <v>66638.71</v>
      </c>
      <c r="C28" s="30">
        <v>67553.84</v>
      </c>
      <c r="D28" s="22">
        <v>1.013733</v>
      </c>
      <c r="E28" s="30">
        <v>35361.38</v>
      </c>
      <c r="F28" s="245">
        <f aca="true" t="shared" si="5" ref="F28:M33">($E28*(1+F$6)^35)/$C28</f>
        <v>0.5234547732593735</v>
      </c>
      <c r="G28" s="68">
        <f t="shared" si="5"/>
        <v>0.7415274744569511</v>
      </c>
      <c r="H28" s="68">
        <f t="shared" si="5"/>
        <v>1.0468517323327153</v>
      </c>
      <c r="I28" s="68">
        <f t="shared" si="5"/>
        <v>1.4729297330361095</v>
      </c>
      <c r="J28" s="245">
        <f t="shared" si="5"/>
        <v>2.065599119726522</v>
      </c>
      <c r="K28" s="245">
        <f t="shared" si="5"/>
        <v>2.8873845735382218</v>
      </c>
      <c r="L28" s="245">
        <f t="shared" si="5"/>
        <v>4.0233188191217275</v>
      </c>
      <c r="M28" s="68">
        <f t="shared" si="5"/>
        <v>5.588707540214598</v>
      </c>
      <c r="N28" s="235">
        <v>0.5323457</v>
      </c>
      <c r="O28" s="235">
        <v>0.4260173</v>
      </c>
      <c r="P28" s="246">
        <v>0.6262116</v>
      </c>
    </row>
    <row r="29" spans="1:16" ht="18" customHeight="1">
      <c r="A29" s="132">
        <v>1912</v>
      </c>
      <c r="B29" s="30">
        <v>101897.6</v>
      </c>
      <c r="C29" s="30">
        <v>100806.5</v>
      </c>
      <c r="D29" s="22">
        <v>0.9892922</v>
      </c>
      <c r="E29" s="30">
        <v>58036.64</v>
      </c>
      <c r="F29" s="245">
        <f t="shared" si="5"/>
        <v>0.5757231924528676</v>
      </c>
      <c r="G29" s="68">
        <f t="shared" si="5"/>
        <v>0.8155710611398524</v>
      </c>
      <c r="H29" s="68">
        <f t="shared" si="5"/>
        <v>1.1513827978119657</v>
      </c>
      <c r="I29" s="68">
        <f t="shared" si="5"/>
        <v>1.6200058753540345</v>
      </c>
      <c r="J29" s="245">
        <f t="shared" si="5"/>
        <v>2.2718549534508257</v>
      </c>
      <c r="K29" s="245">
        <f t="shared" si="5"/>
        <v>3.1756979770492886</v>
      </c>
      <c r="L29" s="245">
        <f t="shared" si="5"/>
        <v>4.425058425539888</v>
      </c>
      <c r="M29" s="68">
        <f t="shared" si="5"/>
        <v>6.146755576805975</v>
      </c>
      <c r="N29" s="235">
        <v>0.286709</v>
      </c>
      <c r="O29" s="235">
        <v>0.4614922</v>
      </c>
      <c r="P29" s="246">
        <v>0.675232</v>
      </c>
    </row>
    <row r="30" spans="1:16" ht="18" customHeight="1">
      <c r="A30" s="132">
        <v>1922</v>
      </c>
      <c r="B30" s="30">
        <v>113415.3</v>
      </c>
      <c r="C30" s="30">
        <v>119654.9</v>
      </c>
      <c r="D30" s="22">
        <v>1.055016</v>
      </c>
      <c r="E30" s="30">
        <v>86491.95</v>
      </c>
      <c r="F30" s="245">
        <f t="shared" si="5"/>
        <v>0.7228450318373923</v>
      </c>
      <c r="G30" s="68">
        <f t="shared" si="5"/>
        <v>1.02398426428436</v>
      </c>
      <c r="H30" s="68">
        <f t="shared" si="5"/>
        <v>1.4456102273655604</v>
      </c>
      <c r="I30" s="68">
        <f t="shared" si="5"/>
        <v>2.0339864954162263</v>
      </c>
      <c r="J30" s="245">
        <f t="shared" si="5"/>
        <v>2.852410824654316</v>
      </c>
      <c r="K30" s="245">
        <f t="shared" si="5"/>
        <v>3.9872243040027664</v>
      </c>
      <c r="L30" s="245">
        <f t="shared" si="5"/>
        <v>5.555849652093982</v>
      </c>
      <c r="M30" s="68">
        <f t="shared" si="5"/>
        <v>7.717513883161358</v>
      </c>
      <c r="N30" s="235">
        <v>0.4241055</v>
      </c>
      <c r="O30" s="235">
        <v>0.6957281</v>
      </c>
      <c r="P30" s="246">
        <v>0.7883098</v>
      </c>
    </row>
    <row r="31" spans="1:16" ht="18" customHeight="1">
      <c r="A31" s="132">
        <v>1927</v>
      </c>
      <c r="B31" s="30">
        <v>214469.6</v>
      </c>
      <c r="C31" s="30">
        <v>218092</v>
      </c>
      <c r="D31" s="22">
        <v>1.01689</v>
      </c>
      <c r="E31" s="30">
        <v>118153.6</v>
      </c>
      <c r="F31" s="245">
        <f t="shared" si="5"/>
        <v>0.5417603580140491</v>
      </c>
      <c r="G31" s="68">
        <f t="shared" si="5"/>
        <v>0.7674592162711885</v>
      </c>
      <c r="H31" s="68">
        <f t="shared" si="5"/>
        <v>1.083460880038968</v>
      </c>
      <c r="I31" s="68">
        <f t="shared" si="5"/>
        <v>1.524439130682607</v>
      </c>
      <c r="J31" s="245">
        <f t="shared" si="5"/>
        <v>2.1378345862595616</v>
      </c>
      <c r="K31" s="245">
        <f t="shared" si="5"/>
        <v>2.988358460357775</v>
      </c>
      <c r="L31" s="245">
        <f t="shared" si="5"/>
        <v>4.164017132330193</v>
      </c>
      <c r="M31" s="68">
        <f t="shared" si="5"/>
        <v>5.784148607471426</v>
      </c>
      <c r="N31" s="235">
        <v>0.299375</v>
      </c>
      <c r="O31" s="235">
        <v>0.647406</v>
      </c>
      <c r="P31" s="246">
        <v>0.4919717</v>
      </c>
    </row>
    <row r="32" spans="1:16" ht="18" customHeight="1">
      <c r="A32" s="132">
        <v>1932</v>
      </c>
      <c r="B32" s="30">
        <v>165352.6</v>
      </c>
      <c r="C32" s="30">
        <v>171313.2</v>
      </c>
      <c r="D32" s="22">
        <v>1.036048</v>
      </c>
      <c r="E32" s="30">
        <v>101829</v>
      </c>
      <c r="F32" s="245">
        <f t="shared" si="5"/>
        <v>0.5944025329046447</v>
      </c>
      <c r="G32" s="68">
        <f t="shared" si="5"/>
        <v>0.8420322663046864</v>
      </c>
      <c r="H32" s="68">
        <f t="shared" si="5"/>
        <v>1.1887394156321</v>
      </c>
      <c r="I32" s="68">
        <f t="shared" si="5"/>
        <v>1.6725669701237134</v>
      </c>
      <c r="J32" s="245">
        <f t="shared" si="5"/>
        <v>2.3455652932267217</v>
      </c>
      <c r="K32" s="245">
        <f t="shared" si="5"/>
        <v>3.2787335060377796</v>
      </c>
      <c r="L32" s="245">
        <f t="shared" si="5"/>
        <v>4.568629457475398</v>
      </c>
      <c r="M32" s="68">
        <f t="shared" si="5"/>
        <v>6.346187077218247</v>
      </c>
      <c r="N32" s="235">
        <v>0.2807678</v>
      </c>
      <c r="O32" s="235">
        <v>0.4368467</v>
      </c>
      <c r="P32" s="246">
        <v>0.8622411</v>
      </c>
    </row>
    <row r="33" spans="1:16" ht="18" customHeight="1" thickBot="1">
      <c r="A33" s="135">
        <v>1937</v>
      </c>
      <c r="B33" s="136">
        <v>163005.5</v>
      </c>
      <c r="C33" s="136">
        <v>135001.8</v>
      </c>
      <c r="D33" s="126">
        <v>0.8282037</v>
      </c>
      <c r="E33" s="136">
        <v>73434.34</v>
      </c>
      <c r="F33" s="245">
        <f t="shared" si="5"/>
        <v>0.5439508213964555</v>
      </c>
      <c r="G33" s="68">
        <f t="shared" si="5"/>
        <v>0.7705622327356909</v>
      </c>
      <c r="H33" s="68">
        <f t="shared" si="5"/>
        <v>1.0878415648729323</v>
      </c>
      <c r="I33" s="68">
        <f t="shared" si="5"/>
        <v>1.5306027933520359</v>
      </c>
      <c r="J33" s="245">
        <f t="shared" si="5"/>
        <v>2.1464783497050997</v>
      </c>
      <c r="K33" s="245">
        <f t="shared" si="5"/>
        <v>3.000441090037276</v>
      </c>
      <c r="L33" s="245">
        <f t="shared" si="5"/>
        <v>4.1808532240027505</v>
      </c>
      <c r="M33" s="68">
        <f t="shared" si="5"/>
        <v>5.807535268262753</v>
      </c>
      <c r="N33" s="247">
        <v>-0.9148386</v>
      </c>
      <c r="O33" s="247">
        <v>0.4893969</v>
      </c>
      <c r="P33" s="248">
        <v>0.4485677</v>
      </c>
    </row>
    <row r="34" spans="1:16" ht="15.75" thickBot="1" thickTop="1">
      <c r="A34" s="327" t="s">
        <v>556</v>
      </c>
      <c r="B34" s="328"/>
      <c r="C34" s="328"/>
      <c r="D34" s="328"/>
      <c r="E34" s="328"/>
      <c r="F34" s="328"/>
      <c r="G34" s="328"/>
      <c r="H34" s="328"/>
      <c r="I34" s="393"/>
      <c r="J34" s="393"/>
      <c r="K34" s="393"/>
      <c r="L34" s="393"/>
      <c r="M34" s="393"/>
      <c r="N34" s="393"/>
      <c r="O34" s="393"/>
      <c r="P34" s="313"/>
    </row>
    <row r="35" ht="15" thickTop="1"/>
  </sheetData>
  <mergeCells count="13">
    <mergeCell ref="A3:P3"/>
    <mergeCell ref="A7:P7"/>
    <mergeCell ref="A16:P16"/>
    <mergeCell ref="N5:P5"/>
    <mergeCell ref="B4:M4"/>
    <mergeCell ref="B5:B6"/>
    <mergeCell ref="A5:A6"/>
    <mergeCell ref="C5:C6"/>
    <mergeCell ref="D5:D6"/>
    <mergeCell ref="E5:E6"/>
    <mergeCell ref="F5:M5"/>
    <mergeCell ref="A34:P34"/>
    <mergeCell ref="A25:P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70" t="s">
        <v>557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4"/>
      <c r="P3" s="475"/>
      <c r="Q3" s="180"/>
      <c r="R3" s="180"/>
      <c r="S3" s="180"/>
    </row>
    <row r="4" spans="1:19" ht="18" customHeight="1" thickBot="1">
      <c r="A4" s="221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47"/>
      <c r="P4" s="166"/>
      <c r="Q4" s="47"/>
      <c r="R4" s="47"/>
      <c r="S4" s="47"/>
    </row>
    <row r="5" spans="1:19" ht="18" customHeight="1" thickTop="1">
      <c r="A5" s="277"/>
      <c r="B5" s="484" t="s">
        <v>612</v>
      </c>
      <c r="C5" s="485"/>
      <c r="D5" s="485"/>
      <c r="E5" s="486"/>
      <c r="F5" s="484" t="s">
        <v>322</v>
      </c>
      <c r="G5" s="471"/>
      <c r="H5" s="471"/>
      <c r="I5" s="472"/>
      <c r="J5" s="487" t="s">
        <v>323</v>
      </c>
      <c r="K5" s="372"/>
      <c r="L5" s="372"/>
      <c r="M5" s="373"/>
      <c r="N5" s="481" t="s">
        <v>309</v>
      </c>
      <c r="O5" s="483" t="s">
        <v>310</v>
      </c>
      <c r="P5" s="476" t="s">
        <v>311</v>
      </c>
      <c r="Q5" s="194"/>
      <c r="R5" s="47"/>
      <c r="S5" s="47"/>
    </row>
    <row r="6" spans="1:20" ht="30" customHeight="1">
      <c r="A6" s="469"/>
      <c r="B6" s="479" t="s">
        <v>316</v>
      </c>
      <c r="C6" s="437" t="s">
        <v>317</v>
      </c>
      <c r="D6" s="477" t="s">
        <v>319</v>
      </c>
      <c r="E6" s="452" t="s">
        <v>312</v>
      </c>
      <c r="F6" s="479" t="s">
        <v>316</v>
      </c>
      <c r="G6" s="437" t="s">
        <v>317</v>
      </c>
      <c r="H6" s="437" t="s">
        <v>592</v>
      </c>
      <c r="I6" s="452" t="s">
        <v>318</v>
      </c>
      <c r="J6" s="479" t="s">
        <v>316</v>
      </c>
      <c r="K6" s="437" t="s">
        <v>317</v>
      </c>
      <c r="L6" s="437" t="s">
        <v>602</v>
      </c>
      <c r="M6" s="452" t="s">
        <v>318</v>
      </c>
      <c r="N6" s="482"/>
      <c r="O6" s="339"/>
      <c r="P6" s="326"/>
      <c r="Q6" s="194"/>
      <c r="R6" s="47"/>
      <c r="S6" s="47"/>
      <c r="T6" s="47"/>
    </row>
    <row r="7" spans="1:20" ht="30" customHeight="1">
      <c r="A7" s="470"/>
      <c r="B7" s="480"/>
      <c r="C7" s="465"/>
      <c r="D7" s="465"/>
      <c r="E7" s="326"/>
      <c r="F7" s="482"/>
      <c r="G7" s="339"/>
      <c r="H7" s="339"/>
      <c r="I7" s="326"/>
      <c r="J7" s="482"/>
      <c r="K7" s="339"/>
      <c r="L7" s="339"/>
      <c r="M7" s="326"/>
      <c r="N7" s="482"/>
      <c r="O7" s="339"/>
      <c r="P7" s="326"/>
      <c r="Q7" s="194"/>
      <c r="R7" s="47"/>
      <c r="S7" s="47"/>
      <c r="T7" s="47"/>
    </row>
    <row r="8" spans="1:20" ht="1.5" customHeight="1">
      <c r="A8" s="278"/>
      <c r="B8" s="130" t="s">
        <v>260</v>
      </c>
      <c r="C8" s="250" t="s">
        <v>558</v>
      </c>
      <c r="D8" s="250" t="s">
        <v>180</v>
      </c>
      <c r="E8" s="255" t="s">
        <v>308</v>
      </c>
      <c r="F8" s="194" t="s">
        <v>265</v>
      </c>
      <c r="G8" s="47" t="s">
        <v>559</v>
      </c>
      <c r="H8" s="47" t="s">
        <v>593</v>
      </c>
      <c r="I8" s="166" t="s">
        <v>594</v>
      </c>
      <c r="J8" s="194" t="s">
        <v>560</v>
      </c>
      <c r="K8" s="47" t="s">
        <v>561</v>
      </c>
      <c r="L8" s="47" t="s">
        <v>595</v>
      </c>
      <c r="M8" s="166" t="s">
        <v>596</v>
      </c>
      <c r="N8" s="271"/>
      <c r="O8" s="65"/>
      <c r="P8" s="255"/>
      <c r="Q8" s="194"/>
      <c r="R8" s="47"/>
      <c r="S8" s="47"/>
      <c r="T8" s="47"/>
    </row>
    <row r="9" spans="1:20" ht="18" customHeight="1">
      <c r="A9" s="279">
        <v>1872</v>
      </c>
      <c r="B9" s="274">
        <v>68600.82</v>
      </c>
      <c r="C9" s="251">
        <v>222227.5</v>
      </c>
      <c r="D9" s="65">
        <v>3.23943</v>
      </c>
      <c r="E9" s="183">
        <v>0.3238719</v>
      </c>
      <c r="F9" s="264">
        <v>130737.4</v>
      </c>
      <c r="G9" s="252">
        <v>665073.4</v>
      </c>
      <c r="H9" s="65">
        <v>9.490385</v>
      </c>
      <c r="I9" s="265">
        <v>5.087093</v>
      </c>
      <c r="J9" s="264">
        <v>38836.79</v>
      </c>
      <c r="K9" s="252">
        <v>10100.1</v>
      </c>
      <c r="L9" s="65">
        <v>0.5755672</v>
      </c>
      <c r="M9" s="265">
        <v>0.2600653</v>
      </c>
      <c r="N9" s="272">
        <f>TableB1!E9*TableB18!E9</f>
        <v>0.09226096686240427</v>
      </c>
      <c r="O9" s="54">
        <f aca="true" t="shared" si="0" ref="O9:O15">E9*F9/B9</f>
        <v>0.617225422947714</v>
      </c>
      <c r="P9" s="239">
        <f aca="true" t="shared" si="1" ref="P9:P15">O9+(1-E9)*K9/B9</f>
        <v>0.7167717756416031</v>
      </c>
      <c r="Q9" s="194"/>
      <c r="R9" s="47"/>
      <c r="S9" s="47"/>
      <c r="T9" s="47"/>
    </row>
    <row r="10" spans="1:20" ht="18" customHeight="1">
      <c r="A10" s="279">
        <v>1882</v>
      </c>
      <c r="B10" s="274">
        <v>82253.93</v>
      </c>
      <c r="C10" s="251">
        <v>272525.4</v>
      </c>
      <c r="D10" s="65">
        <v>3.31322</v>
      </c>
      <c r="E10" s="183">
        <v>0.3648009</v>
      </c>
      <c r="F10" s="264">
        <v>138328.5</v>
      </c>
      <c r="G10" s="252">
        <v>722744.9</v>
      </c>
      <c r="H10" s="65">
        <v>8.577684</v>
      </c>
      <c r="I10" s="265">
        <v>5.224844</v>
      </c>
      <c r="J10" s="264">
        <v>50049.76</v>
      </c>
      <c r="K10" s="252">
        <v>13960.04</v>
      </c>
      <c r="L10" s="65">
        <v>0.6208659</v>
      </c>
      <c r="M10" s="265">
        <v>0.2789232</v>
      </c>
      <c r="N10" s="272">
        <f>TableB1!E10*TableB18!E10</f>
        <v>0.0933853501891551</v>
      </c>
      <c r="O10" s="54">
        <f t="shared" si="0"/>
        <v>0.6134948359993255</v>
      </c>
      <c r="P10" s="239">
        <f t="shared" si="1"/>
        <v>0.7213000781800214</v>
      </c>
      <c r="Q10" s="194"/>
      <c r="R10" s="47"/>
      <c r="S10" s="47"/>
      <c r="T10" s="47"/>
    </row>
    <row r="11" spans="1:20" ht="18" customHeight="1">
      <c r="A11" s="279">
        <v>1912</v>
      </c>
      <c r="B11" s="274">
        <v>124393</v>
      </c>
      <c r="C11" s="251">
        <v>308093.1</v>
      </c>
      <c r="D11" s="65">
        <v>2.476773</v>
      </c>
      <c r="E11" s="183">
        <v>0.2966952</v>
      </c>
      <c r="F11" s="264">
        <v>276337.8</v>
      </c>
      <c r="G11" s="253">
        <v>1005358</v>
      </c>
      <c r="H11" s="65">
        <v>10.33382</v>
      </c>
      <c r="I11" s="265">
        <v>3.638149</v>
      </c>
      <c r="J11" s="264">
        <v>60293.74</v>
      </c>
      <c r="K11" s="252">
        <v>13945.84</v>
      </c>
      <c r="L11" s="65">
        <v>0.8239999</v>
      </c>
      <c r="M11" s="265">
        <v>0.2312983</v>
      </c>
      <c r="N11" s="272">
        <f>TableB1!E11*TableB18!E11</f>
        <v>0.0830048253272101</v>
      </c>
      <c r="O11" s="54">
        <f t="shared" si="0"/>
        <v>0.6591054065627486</v>
      </c>
      <c r="P11" s="239">
        <f t="shared" si="1"/>
        <v>0.7379537035893659</v>
      </c>
      <c r="Q11" s="194"/>
      <c r="R11" s="47"/>
      <c r="S11" s="47"/>
      <c r="T11" s="47"/>
    </row>
    <row r="12" spans="1:20" ht="18" customHeight="1">
      <c r="A12" s="279">
        <v>1922</v>
      </c>
      <c r="B12" s="274">
        <v>133431.8</v>
      </c>
      <c r="C12" s="251">
        <v>354885.9</v>
      </c>
      <c r="D12" s="65">
        <v>2.65968</v>
      </c>
      <c r="E12" s="183">
        <v>0.3424116</v>
      </c>
      <c r="F12" s="264">
        <v>232904.5</v>
      </c>
      <c r="G12" s="252">
        <v>990330.6</v>
      </c>
      <c r="H12" s="65">
        <v>5.932704</v>
      </c>
      <c r="I12" s="265">
        <v>4.25209</v>
      </c>
      <c r="J12" s="264">
        <v>81635.59</v>
      </c>
      <c r="K12" s="252">
        <v>24004.68</v>
      </c>
      <c r="L12" s="65">
        <v>0.4926977</v>
      </c>
      <c r="M12" s="265">
        <v>0.2940468</v>
      </c>
      <c r="N12" s="272">
        <f>TableB1!E12*TableB18!E12</f>
        <v>0.11096470409505622</v>
      </c>
      <c r="O12" s="54">
        <f t="shared" si="0"/>
        <v>0.5976776337589691</v>
      </c>
      <c r="P12" s="239">
        <f t="shared" si="1"/>
        <v>0.7159792613598259</v>
      </c>
      <c r="Q12" s="194"/>
      <c r="R12" s="47"/>
      <c r="S12" s="47"/>
      <c r="T12" s="47"/>
    </row>
    <row r="13" spans="1:20" ht="18" customHeight="1">
      <c r="A13" s="279">
        <v>1927</v>
      </c>
      <c r="B13" s="274">
        <v>234246</v>
      </c>
      <c r="C13" s="251">
        <v>757140.6</v>
      </c>
      <c r="D13" s="65">
        <v>3.232245</v>
      </c>
      <c r="E13" s="183">
        <v>0.2832383</v>
      </c>
      <c r="F13" s="264">
        <v>482989.2</v>
      </c>
      <c r="G13" s="253">
        <v>2609048</v>
      </c>
      <c r="H13" s="65">
        <v>8.656438</v>
      </c>
      <c r="I13" s="265">
        <v>5.401876</v>
      </c>
      <c r="J13" s="264">
        <v>135951.7</v>
      </c>
      <c r="K13" s="252">
        <v>25333.86</v>
      </c>
      <c r="L13" s="65">
        <v>0.5046443</v>
      </c>
      <c r="M13" s="265">
        <v>0.1863445</v>
      </c>
      <c r="N13" s="272">
        <f>TableB1!E13*TableB18!E13</f>
        <v>0.08854119669785361</v>
      </c>
      <c r="O13" s="54">
        <f t="shared" si="0"/>
        <v>0.5840058738521042</v>
      </c>
      <c r="P13" s="239">
        <f t="shared" si="1"/>
        <v>0.6615241262925387</v>
      </c>
      <c r="Q13" s="194"/>
      <c r="R13" s="47"/>
      <c r="S13" s="47"/>
      <c r="T13" s="47"/>
    </row>
    <row r="14" spans="1:20" ht="18" customHeight="1">
      <c r="A14" s="279">
        <v>1932</v>
      </c>
      <c r="B14" s="274">
        <v>224045.3</v>
      </c>
      <c r="C14" s="251">
        <v>837830.7</v>
      </c>
      <c r="D14" s="65">
        <v>3.739559</v>
      </c>
      <c r="E14" s="183">
        <v>0.286904</v>
      </c>
      <c r="F14" s="264">
        <v>458147.2</v>
      </c>
      <c r="G14" s="253">
        <v>2866300</v>
      </c>
      <c r="H14" s="65">
        <v>5.728589</v>
      </c>
      <c r="I14" s="265">
        <v>6.256286</v>
      </c>
      <c r="J14" s="264">
        <v>129857.8</v>
      </c>
      <c r="K14" s="252">
        <v>21705.06</v>
      </c>
      <c r="L14" s="65">
        <v>0.2674498</v>
      </c>
      <c r="M14" s="265">
        <v>0.1671449</v>
      </c>
      <c r="N14" s="272">
        <f>TableB1!E14*TableB18!E14</f>
        <v>0.10942445466194317</v>
      </c>
      <c r="O14" s="54">
        <f t="shared" si="0"/>
        <v>0.5866861044119204</v>
      </c>
      <c r="P14" s="239">
        <f t="shared" si="1"/>
        <v>0.655769416874891</v>
      </c>
      <c r="Q14" s="194"/>
      <c r="R14" s="47"/>
      <c r="S14" s="47"/>
      <c r="T14" s="47"/>
    </row>
    <row r="15" spans="1:20" ht="18" customHeight="1" thickBot="1">
      <c r="A15" s="280">
        <v>1937</v>
      </c>
      <c r="B15" s="275">
        <v>215387.3</v>
      </c>
      <c r="C15" s="276">
        <v>844940.4</v>
      </c>
      <c r="D15" s="270">
        <v>3.922888</v>
      </c>
      <c r="E15" s="226">
        <v>0.2498155</v>
      </c>
      <c r="F15" s="266">
        <v>524888.8</v>
      </c>
      <c r="G15" s="267">
        <v>3326873</v>
      </c>
      <c r="H15" s="270">
        <v>5.299367</v>
      </c>
      <c r="I15" s="268">
        <v>6.338244</v>
      </c>
      <c r="J15" s="266">
        <v>112321.7</v>
      </c>
      <c r="K15" s="269">
        <v>18443.34</v>
      </c>
      <c r="L15" s="270">
        <v>0.2034386</v>
      </c>
      <c r="M15" s="268">
        <v>0.164201</v>
      </c>
      <c r="N15" s="273">
        <f>TableB1!E15*TableB18!E15</f>
        <v>0.1055400772019881</v>
      </c>
      <c r="O15" s="241">
        <f t="shared" si="0"/>
        <v>0.6087887169596351</v>
      </c>
      <c r="P15" s="242">
        <f t="shared" si="1"/>
        <v>0.6730260596266818</v>
      </c>
      <c r="Q15" s="194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66" t="s">
        <v>313</v>
      </c>
      <c r="C17" s="467"/>
      <c r="D17" s="468"/>
      <c r="E17" s="466" t="s">
        <v>314</v>
      </c>
      <c r="F17" s="467"/>
      <c r="G17" s="468"/>
      <c r="H17" s="478" t="s">
        <v>315</v>
      </c>
      <c r="I17" s="467"/>
      <c r="J17" s="468"/>
      <c r="K17" s="466" t="s">
        <v>600</v>
      </c>
      <c r="L17" s="467"/>
      <c r="M17" s="468"/>
      <c r="N17" s="466" t="s">
        <v>601</v>
      </c>
      <c r="O17" s="467"/>
      <c r="P17" s="468"/>
      <c r="Q17" s="69"/>
      <c r="R17" s="69"/>
      <c r="S17" s="69"/>
    </row>
    <row r="18" spans="1:19" ht="15" customHeight="1">
      <c r="A18" s="469"/>
      <c r="B18" s="479" t="s">
        <v>300</v>
      </c>
      <c r="C18" s="437" t="s">
        <v>182</v>
      </c>
      <c r="D18" s="452" t="s">
        <v>181</v>
      </c>
      <c r="E18" s="479" t="s">
        <v>300</v>
      </c>
      <c r="F18" s="437" t="s">
        <v>182</v>
      </c>
      <c r="G18" s="452" t="s">
        <v>181</v>
      </c>
      <c r="H18" s="479" t="s">
        <v>300</v>
      </c>
      <c r="I18" s="437" t="s">
        <v>182</v>
      </c>
      <c r="J18" s="452" t="s">
        <v>181</v>
      </c>
      <c r="K18" s="479" t="s">
        <v>300</v>
      </c>
      <c r="L18" s="437" t="s">
        <v>182</v>
      </c>
      <c r="M18" s="452" t="s">
        <v>181</v>
      </c>
      <c r="N18" s="479" t="s">
        <v>300</v>
      </c>
      <c r="O18" s="437" t="s">
        <v>182</v>
      </c>
      <c r="P18" s="452" t="s">
        <v>181</v>
      </c>
      <c r="Q18" s="123"/>
      <c r="R18" s="263"/>
      <c r="S18" s="123"/>
    </row>
    <row r="19" spans="1:19" ht="15">
      <c r="A19" s="470"/>
      <c r="B19" s="480"/>
      <c r="C19" s="465"/>
      <c r="D19" s="463"/>
      <c r="E19" s="480"/>
      <c r="F19" s="465"/>
      <c r="G19" s="463"/>
      <c r="H19" s="480"/>
      <c r="I19" s="465"/>
      <c r="J19" s="463"/>
      <c r="K19" s="480"/>
      <c r="L19" s="465"/>
      <c r="M19" s="463"/>
      <c r="N19" s="480"/>
      <c r="O19" s="465"/>
      <c r="P19" s="463"/>
      <c r="Q19" s="123"/>
      <c r="R19" s="123"/>
      <c r="S19" s="123"/>
    </row>
    <row r="20" spans="1:19" ht="1.5" customHeight="1">
      <c r="A20" s="278"/>
      <c r="B20" s="286" t="s">
        <v>301</v>
      </c>
      <c r="C20" s="65" t="s">
        <v>302</v>
      </c>
      <c r="D20" s="265" t="s">
        <v>303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0.2250531</v>
      </c>
      <c r="C21" s="22">
        <v>0.5254453</v>
      </c>
      <c r="D21" s="183">
        <v>0.6323529</v>
      </c>
      <c r="E21" s="287">
        <v>0.3811037</v>
      </c>
      <c r="F21" s="22">
        <v>0.5555912</v>
      </c>
      <c r="G21" s="183">
        <v>0.7127268</v>
      </c>
      <c r="H21" s="287">
        <v>0.4274203</v>
      </c>
      <c r="I21" s="22">
        <v>0.6737093</v>
      </c>
      <c r="J21" s="183">
        <v>0.7961095</v>
      </c>
      <c r="K21" s="292">
        <v>0.7326337</v>
      </c>
      <c r="L21" s="49">
        <v>9.619775</v>
      </c>
      <c r="M21" s="200">
        <v>96.81022</v>
      </c>
      <c r="N21" s="292">
        <v>0.0669688</v>
      </c>
      <c r="O21" s="284">
        <v>1.759216</v>
      </c>
      <c r="P21" s="285">
        <v>12.61768</v>
      </c>
      <c r="Q21" s="229"/>
      <c r="R21" s="229"/>
      <c r="S21" s="229"/>
    </row>
    <row r="22" spans="1:19" ht="15">
      <c r="A22" s="279">
        <v>1882</v>
      </c>
      <c r="B22" s="287">
        <v>0.2648538</v>
      </c>
      <c r="C22" s="22">
        <v>0.523654</v>
      </c>
      <c r="D22" s="183">
        <v>0.7378641</v>
      </c>
      <c r="E22" s="287">
        <v>0.3476371</v>
      </c>
      <c r="F22" s="22">
        <v>0.5601105</v>
      </c>
      <c r="G22" s="183">
        <v>0.6830406</v>
      </c>
      <c r="H22" s="287">
        <v>0.3940701</v>
      </c>
      <c r="I22" s="22">
        <v>0.6660575</v>
      </c>
      <c r="J22" s="183">
        <v>0.7967328</v>
      </c>
      <c r="K22" s="292">
        <v>0.4541927</v>
      </c>
      <c r="L22" s="49">
        <v>7.74447</v>
      </c>
      <c r="M22" s="200">
        <v>82.98305</v>
      </c>
      <c r="N22" s="292">
        <v>0.0615885</v>
      </c>
      <c r="O22" s="284">
        <v>1.520306</v>
      </c>
      <c r="P22" s="285">
        <v>17.39679</v>
      </c>
      <c r="Q22" s="229"/>
      <c r="R22" s="229"/>
      <c r="S22" s="229"/>
    </row>
    <row r="23" spans="1:19" ht="15">
      <c r="A23" s="279">
        <v>1912</v>
      </c>
      <c r="B23" s="287">
        <v>0.2176471</v>
      </c>
      <c r="C23" s="22">
        <v>0.4308812</v>
      </c>
      <c r="D23" s="183">
        <v>0.6796875</v>
      </c>
      <c r="E23" s="287">
        <v>0.2771691</v>
      </c>
      <c r="F23" s="22">
        <v>0.544537</v>
      </c>
      <c r="G23" s="183">
        <v>0.7396494</v>
      </c>
      <c r="H23" s="287">
        <v>0.3370436</v>
      </c>
      <c r="I23" s="22">
        <v>0.643266</v>
      </c>
      <c r="J23" s="183">
        <v>0.8079228</v>
      </c>
      <c r="K23" s="292">
        <v>0.212865</v>
      </c>
      <c r="L23" s="49">
        <v>6.365619</v>
      </c>
      <c r="M23" s="200">
        <v>103.5137</v>
      </c>
      <c r="N23" s="292">
        <v>0.0707976</v>
      </c>
      <c r="O23" s="284">
        <v>1.562451</v>
      </c>
      <c r="P23" s="285">
        <v>27.23729</v>
      </c>
      <c r="Q23" s="229"/>
      <c r="R23" s="229"/>
      <c r="S23" s="229"/>
    </row>
    <row r="24" spans="1:19" ht="15">
      <c r="A24" s="279">
        <v>1922</v>
      </c>
      <c r="B24" s="287">
        <v>0.2694991</v>
      </c>
      <c r="C24" s="22">
        <v>0.4938461</v>
      </c>
      <c r="D24" s="183">
        <v>0.6767676</v>
      </c>
      <c r="E24" s="287">
        <v>0.3390841</v>
      </c>
      <c r="F24" s="22">
        <v>0.5695493</v>
      </c>
      <c r="G24" s="183">
        <v>0.6649565</v>
      </c>
      <c r="H24" s="287">
        <v>0.4062341</v>
      </c>
      <c r="I24" s="22">
        <v>0.6813296</v>
      </c>
      <c r="J24" s="183">
        <v>0.7978035</v>
      </c>
      <c r="K24" s="292">
        <v>0.3782594</v>
      </c>
      <c r="L24" s="49">
        <v>7.12028</v>
      </c>
      <c r="M24" s="200">
        <v>65.0201</v>
      </c>
      <c r="N24" s="292">
        <v>0.0665498</v>
      </c>
      <c r="O24" s="284">
        <v>1.37838</v>
      </c>
      <c r="P24" s="285">
        <v>12.9635</v>
      </c>
      <c r="Q24" s="229"/>
      <c r="R24" s="229"/>
      <c r="S24" s="229"/>
    </row>
    <row r="25" spans="1:19" ht="15">
      <c r="A25" s="279">
        <v>1927</v>
      </c>
      <c r="B25" s="287">
        <v>0.1942536</v>
      </c>
      <c r="C25" s="22">
        <v>0.4475465</v>
      </c>
      <c r="D25" s="183">
        <v>0.6382979</v>
      </c>
      <c r="E25" s="287">
        <v>0.2447495</v>
      </c>
      <c r="F25" s="22">
        <v>0.5514986</v>
      </c>
      <c r="G25" s="183">
        <v>0.6434234</v>
      </c>
      <c r="H25" s="287">
        <v>0.3026424</v>
      </c>
      <c r="I25" s="22">
        <v>0.6239802</v>
      </c>
      <c r="J25" s="183">
        <v>0.7269991</v>
      </c>
      <c r="K25" s="292">
        <v>0.3945874</v>
      </c>
      <c r="L25" s="49">
        <v>9.363682</v>
      </c>
      <c r="M25" s="200">
        <v>99.26521</v>
      </c>
      <c r="N25" s="292">
        <v>0.0643665</v>
      </c>
      <c r="O25" s="284">
        <v>1.148962</v>
      </c>
      <c r="P25" s="285">
        <v>21.53927</v>
      </c>
      <c r="Q25" s="229"/>
      <c r="R25" s="229"/>
      <c r="S25" s="229"/>
    </row>
    <row r="26" spans="1:19" ht="15">
      <c r="A26" s="279">
        <v>1932</v>
      </c>
      <c r="B26" s="287">
        <v>0.2274775</v>
      </c>
      <c r="C26" s="22">
        <v>0.3971564</v>
      </c>
      <c r="D26" s="183">
        <v>0.6354167</v>
      </c>
      <c r="E26" s="287">
        <v>0.2943856</v>
      </c>
      <c r="F26" s="22">
        <v>0.5044947</v>
      </c>
      <c r="G26" s="183">
        <v>0.7182801</v>
      </c>
      <c r="H26" s="287">
        <v>0.3422009</v>
      </c>
      <c r="I26" s="22">
        <v>0.5789088</v>
      </c>
      <c r="J26" s="183">
        <v>0.7859246</v>
      </c>
      <c r="K26" s="292">
        <v>0.4557202</v>
      </c>
      <c r="L26" s="49">
        <v>7.118308</v>
      </c>
      <c r="M26" s="200">
        <v>73.04872</v>
      </c>
      <c r="N26" s="292">
        <v>0.0523621</v>
      </c>
      <c r="O26" s="284">
        <v>0.829438</v>
      </c>
      <c r="P26" s="285">
        <v>6.993874</v>
      </c>
      <c r="Q26" s="229"/>
      <c r="R26" s="229"/>
      <c r="S26" s="229"/>
    </row>
    <row r="27" spans="1:19" ht="15" thickBot="1">
      <c r="A27" s="280">
        <v>1937</v>
      </c>
      <c r="B27" s="288">
        <v>0.1732697</v>
      </c>
      <c r="C27" s="126">
        <v>0.4766355</v>
      </c>
      <c r="D27" s="226">
        <v>0.6444445</v>
      </c>
      <c r="E27" s="288">
        <v>0.2536367</v>
      </c>
      <c r="F27" s="126">
        <v>0.5318066</v>
      </c>
      <c r="G27" s="226">
        <v>0.7297886</v>
      </c>
      <c r="H27" s="288">
        <v>0.3133667</v>
      </c>
      <c r="I27" s="126">
        <v>0.6243852</v>
      </c>
      <c r="J27" s="226">
        <v>0.7717592</v>
      </c>
      <c r="K27" s="293">
        <v>0.4547898</v>
      </c>
      <c r="L27" s="294">
        <v>5.049466</v>
      </c>
      <c r="M27" s="295">
        <v>72.95052</v>
      </c>
      <c r="N27" s="293">
        <v>0.0442898</v>
      </c>
      <c r="O27" s="296">
        <v>0.7231841</v>
      </c>
      <c r="P27" s="297">
        <v>8.389762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66" t="s">
        <v>567</v>
      </c>
      <c r="C29" s="467"/>
      <c r="D29" s="468"/>
      <c r="E29" s="466" t="s">
        <v>572</v>
      </c>
      <c r="F29" s="471"/>
      <c r="G29" s="472"/>
      <c r="H29" s="466" t="s">
        <v>574</v>
      </c>
      <c r="I29" s="471"/>
      <c r="J29" s="472"/>
      <c r="K29" s="466" t="s">
        <v>573</v>
      </c>
      <c r="L29" s="467"/>
      <c r="M29" s="468"/>
      <c r="N29" s="466" t="s">
        <v>575</v>
      </c>
      <c r="O29" s="467"/>
      <c r="P29" s="46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69"/>
      <c r="B30" s="392" t="s">
        <v>571</v>
      </c>
      <c r="C30" s="437" t="s">
        <v>565</v>
      </c>
      <c r="D30" s="452" t="s">
        <v>566</v>
      </c>
      <c r="E30" s="392" t="s">
        <v>571</v>
      </c>
      <c r="F30" s="437" t="s">
        <v>565</v>
      </c>
      <c r="G30" s="452" t="s">
        <v>566</v>
      </c>
      <c r="H30" s="392" t="s">
        <v>571</v>
      </c>
      <c r="I30" s="437" t="s">
        <v>565</v>
      </c>
      <c r="J30" s="452" t="s">
        <v>566</v>
      </c>
      <c r="K30" s="392" t="s">
        <v>571</v>
      </c>
      <c r="L30" s="437" t="s">
        <v>565</v>
      </c>
      <c r="M30" s="452" t="s">
        <v>566</v>
      </c>
      <c r="N30" s="392" t="s">
        <v>571</v>
      </c>
      <c r="O30" s="437" t="s">
        <v>565</v>
      </c>
      <c r="P30" s="452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70"/>
      <c r="B31" s="464"/>
      <c r="C31" s="465"/>
      <c r="D31" s="463"/>
      <c r="E31" s="464"/>
      <c r="F31" s="465"/>
      <c r="G31" s="463"/>
      <c r="H31" s="464"/>
      <c r="I31" s="465"/>
      <c r="J31" s="463"/>
      <c r="K31" s="464"/>
      <c r="L31" s="465"/>
      <c r="M31" s="463"/>
      <c r="N31" s="464"/>
      <c r="O31" s="465"/>
      <c r="P31" s="463"/>
      <c r="Q31" s="123"/>
      <c r="R31" s="123"/>
      <c r="S31" s="123"/>
      <c r="W31" s="381"/>
      <c r="X31" s="381"/>
      <c r="Y31" s="381"/>
      <c r="Z31" s="381"/>
      <c r="AA31" s="381"/>
    </row>
    <row r="32" spans="1:19" ht="1.5" customHeight="1">
      <c r="A32" s="278"/>
      <c r="B32" s="286" t="s">
        <v>568</v>
      </c>
      <c r="C32" s="65" t="s">
        <v>569</v>
      </c>
      <c r="D32" s="265" t="s">
        <v>570</v>
      </c>
      <c r="E32" s="289" t="s">
        <v>568</v>
      </c>
      <c r="F32" s="6" t="s">
        <v>569</v>
      </c>
      <c r="G32" s="255" t="s">
        <v>570</v>
      </c>
      <c r="H32" s="289" t="s">
        <v>568</v>
      </c>
      <c r="I32" s="6" t="s">
        <v>569</v>
      </c>
      <c r="J32" s="255" t="s">
        <v>570</v>
      </c>
      <c r="K32" s="289" t="s">
        <v>568</v>
      </c>
      <c r="L32" s="6" t="s">
        <v>569</v>
      </c>
      <c r="M32" s="255" t="s">
        <v>570</v>
      </c>
      <c r="N32" s="289" t="s">
        <v>568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87">
        <v>0.3238719</v>
      </c>
      <c r="C33" s="22">
        <v>0.6181159</v>
      </c>
      <c r="D33" s="183">
        <v>0.7178059</v>
      </c>
      <c r="E33" s="287">
        <v>0.3209607</v>
      </c>
      <c r="F33" s="22">
        <v>0.6146291</v>
      </c>
      <c r="G33" s="183">
        <v>0.7158792</v>
      </c>
      <c r="H33" s="287">
        <v>0.3202329</v>
      </c>
      <c r="I33" s="22">
        <v>0.6085665</v>
      </c>
      <c r="J33" s="183">
        <v>0.7118894</v>
      </c>
      <c r="K33" s="287">
        <v>0.3158661</v>
      </c>
      <c r="L33" s="22">
        <v>0.5796332</v>
      </c>
      <c r="M33" s="183">
        <v>0.694953</v>
      </c>
      <c r="N33" s="287">
        <v>0.3027656</v>
      </c>
      <c r="O33" s="22">
        <v>0.571732</v>
      </c>
      <c r="P33" s="183">
        <v>0.6783721</v>
      </c>
      <c r="Q33" s="22"/>
      <c r="R33" s="22"/>
      <c r="S33" s="22"/>
      <c r="W33" s="21">
        <f>TableB1!$E9*TableB18!B33</f>
        <v>0.09226096686240427</v>
      </c>
      <c r="X33" s="21">
        <f>TableB1!$E9*TableB18!E33</f>
        <v>0.09143165710527551</v>
      </c>
      <c r="Y33" s="21">
        <f>TableB1!$E9*TableB18!H33</f>
        <v>0.09122432966599332</v>
      </c>
      <c r="Z33" s="21">
        <f>TableB1!$E9*TableB18!K33</f>
        <v>0.08998036503030017</v>
      </c>
      <c r="AA33" s="21">
        <f>TableB1!$E9*TableB18!N33</f>
        <v>0.08624844263635083</v>
      </c>
    </row>
    <row r="34" spans="1:27" ht="15">
      <c r="A34" s="279">
        <v>1882</v>
      </c>
      <c r="B34" s="287">
        <v>0.3648009</v>
      </c>
      <c r="C34" s="22">
        <v>0.6154015</v>
      </c>
      <c r="D34" s="183">
        <v>0.7235418</v>
      </c>
      <c r="E34" s="287">
        <v>0.3615164</v>
      </c>
      <c r="F34" s="22">
        <v>0.6169475</v>
      </c>
      <c r="G34" s="183">
        <v>0.7186404</v>
      </c>
      <c r="H34" s="287">
        <v>0.3592446</v>
      </c>
      <c r="I34" s="22">
        <v>0.6103014</v>
      </c>
      <c r="J34" s="183">
        <v>0.7052138</v>
      </c>
      <c r="K34" s="287">
        <v>0.3525934</v>
      </c>
      <c r="L34" s="22">
        <v>0.5723373</v>
      </c>
      <c r="M34" s="183">
        <v>0.6920822</v>
      </c>
      <c r="N34" s="287">
        <v>0.3412892</v>
      </c>
      <c r="O34" s="22">
        <v>0.520061</v>
      </c>
      <c r="P34" s="183">
        <v>0.6232643</v>
      </c>
      <c r="Q34" s="22"/>
      <c r="R34" s="22"/>
      <c r="S34" s="22"/>
      <c r="W34" s="21">
        <f>TableB1!$E10*TableB18!B34</f>
        <v>0.0933853501891551</v>
      </c>
      <c r="X34" s="21">
        <f>TableB1!$E10*TableB18!E34</f>
        <v>0.09254455132408576</v>
      </c>
      <c r="Y34" s="21">
        <f>TableB1!$E10*TableB18!H34</f>
        <v>0.09196299344262296</v>
      </c>
      <c r="Z34" s="21">
        <f>TableB1!$E10*TableB18!K34</f>
        <v>0.09026035334174023</v>
      </c>
      <c r="AA34" s="21">
        <f>TableB1!$E10*TableB18!N34</f>
        <v>0.0873665921815889</v>
      </c>
    </row>
    <row r="35" spans="1:27" ht="15">
      <c r="A35" s="279">
        <v>1912</v>
      </c>
      <c r="B35" s="287">
        <v>0.2966952</v>
      </c>
      <c r="C35" s="22">
        <v>0.6591247</v>
      </c>
      <c r="D35" s="183">
        <v>0.7379753</v>
      </c>
      <c r="E35" s="287">
        <v>0.2959608</v>
      </c>
      <c r="F35" s="22">
        <v>0.6524444</v>
      </c>
      <c r="G35" s="183">
        <v>0.7371832</v>
      </c>
      <c r="H35" s="287">
        <v>0.2881273</v>
      </c>
      <c r="I35" s="22">
        <v>0.6480996</v>
      </c>
      <c r="J35" s="183">
        <v>0.729687</v>
      </c>
      <c r="K35" s="287">
        <v>0.2847001</v>
      </c>
      <c r="L35" s="22">
        <v>0.5807163</v>
      </c>
      <c r="M35" s="183">
        <v>0.6783895</v>
      </c>
      <c r="N35" s="287">
        <v>0.2778458</v>
      </c>
      <c r="O35" s="22">
        <v>0.5462961</v>
      </c>
      <c r="P35" s="183">
        <v>0.629132</v>
      </c>
      <c r="Q35" s="22"/>
      <c r="R35" s="22"/>
      <c r="S35" s="22"/>
      <c r="W35" s="21">
        <f>TableB1!$E11*TableB18!B35</f>
        <v>0.0830048253272101</v>
      </c>
      <c r="X35" s="21">
        <f>TableB1!$E11*TableB18!E35</f>
        <v>0.08279936617680826</v>
      </c>
      <c r="Y35" s="21">
        <f>TableB1!$E11*TableB18!H35</f>
        <v>0.08060782988231915</v>
      </c>
      <c r="Z35" s="21">
        <f>TableB1!$E11*TableB18!K35</f>
        <v>0.07964902051377727</v>
      </c>
      <c r="AA35" s="21">
        <f>TableB1!$E11*TableB18!N35</f>
        <v>0.07773142975315728</v>
      </c>
    </row>
    <row r="36" spans="1:27" ht="15">
      <c r="A36" s="279">
        <v>1922</v>
      </c>
      <c r="B36" s="287">
        <v>0.3424116</v>
      </c>
      <c r="C36" s="22">
        <v>0.6061437</v>
      </c>
      <c r="D36" s="183">
        <v>0.7261211</v>
      </c>
      <c r="E36" s="287">
        <v>0.3386778</v>
      </c>
      <c r="F36" s="22">
        <v>0.5866986</v>
      </c>
      <c r="G36" s="183">
        <v>0.7146154</v>
      </c>
      <c r="H36" s="287">
        <v>0.3338458</v>
      </c>
      <c r="I36" s="22">
        <v>0.5739359</v>
      </c>
      <c r="J36" s="183">
        <v>0.7063156</v>
      </c>
      <c r="K36" s="287">
        <v>0.3290138</v>
      </c>
      <c r="L36" s="22">
        <v>0.5496352</v>
      </c>
      <c r="M36" s="183">
        <v>0.6810685</v>
      </c>
      <c r="N36" s="287">
        <v>0.3200088</v>
      </c>
      <c r="O36" s="22">
        <v>0.588447</v>
      </c>
      <c r="P36" s="183">
        <v>0.6639683</v>
      </c>
      <c r="Q36" s="22"/>
      <c r="R36" s="22"/>
      <c r="S36" s="22"/>
      <c r="W36" s="21">
        <f>TableB1!$E12*TableB18!B36</f>
        <v>0.11096470409505622</v>
      </c>
      <c r="X36" s="21">
        <f>TableB1!$E12*TableB18!E36</f>
        <v>0.10975469832378527</v>
      </c>
      <c r="Y36" s="21">
        <f>TableB1!$E12*TableB18!H36</f>
        <v>0.10818880087700687</v>
      </c>
      <c r="Z36" s="21">
        <f>TableB1!$E12*TableB18!K36</f>
        <v>0.10662290343022846</v>
      </c>
      <c r="AA36" s="21">
        <f>TableB1!$E12*TableB18!N36</f>
        <v>0.10370466946743051</v>
      </c>
    </row>
    <row r="37" spans="1:27" ht="15">
      <c r="A37" s="279">
        <v>1927</v>
      </c>
      <c r="B37" s="287">
        <v>0.2832383</v>
      </c>
      <c r="C37" s="22">
        <v>0.6071541</v>
      </c>
      <c r="D37" s="183">
        <v>0.6877449</v>
      </c>
      <c r="E37" s="287">
        <v>0.2817025</v>
      </c>
      <c r="F37" s="22">
        <v>0.5943874</v>
      </c>
      <c r="G37" s="183">
        <v>0.6828001</v>
      </c>
      <c r="H37" s="287">
        <v>0.2749013</v>
      </c>
      <c r="I37" s="22">
        <v>0.5592753</v>
      </c>
      <c r="J37" s="183">
        <v>0.6612695</v>
      </c>
      <c r="K37" s="287">
        <v>0.2770952</v>
      </c>
      <c r="L37" s="22">
        <v>0.528051</v>
      </c>
      <c r="M37" s="183">
        <v>0.6467876</v>
      </c>
      <c r="N37" s="287">
        <v>0.2685388</v>
      </c>
      <c r="O37" s="22">
        <v>0.5235311</v>
      </c>
      <c r="P37" s="183">
        <v>0.6198565</v>
      </c>
      <c r="Q37" s="22"/>
      <c r="R37" s="22"/>
      <c r="S37" s="22"/>
      <c r="W37" s="21">
        <f>TableB1!$E13*TableB18!B37</f>
        <v>0.08854119669785361</v>
      </c>
      <c r="X37" s="21">
        <f>TableB1!$E13*TableB18!E37</f>
        <v>0.08806110071546507</v>
      </c>
      <c r="Y37" s="21">
        <f>TableB1!$E13*TableB18!H37</f>
        <v>0.0859350238855256</v>
      </c>
      <c r="Z37" s="21">
        <f>TableB1!$E13*TableB18!K37</f>
        <v>0.0866208440286186</v>
      </c>
      <c r="AA37" s="21">
        <f>TableB1!$E13*TableB18!N37</f>
        <v>0.08394608607594937</v>
      </c>
    </row>
    <row r="38" spans="1:27" ht="15">
      <c r="A38" s="279">
        <v>1932</v>
      </c>
      <c r="B38" s="287">
        <v>0.286904</v>
      </c>
      <c r="C38" s="22">
        <v>0.6052396</v>
      </c>
      <c r="D38" s="183">
        <v>0.6765077</v>
      </c>
      <c r="E38" s="287">
        <v>0.2871122</v>
      </c>
      <c r="F38" s="22">
        <v>0.6070089</v>
      </c>
      <c r="G38" s="183">
        <v>0.674965</v>
      </c>
      <c r="H38" s="287">
        <v>0.2808661</v>
      </c>
      <c r="I38" s="22">
        <v>0.5565299</v>
      </c>
      <c r="J38" s="183">
        <v>0.6389782</v>
      </c>
      <c r="K38" s="287">
        <v>0.2721216</v>
      </c>
      <c r="L38" s="22">
        <v>0.5481203</v>
      </c>
      <c r="M38" s="183">
        <v>0.6300871</v>
      </c>
      <c r="N38" s="287">
        <v>0.2669165</v>
      </c>
      <c r="O38" s="22">
        <v>0.5188887</v>
      </c>
      <c r="P38" s="183">
        <v>0.5927256</v>
      </c>
      <c r="Q38" s="22"/>
      <c r="R38" s="22"/>
      <c r="S38" s="22"/>
      <c r="W38" s="21">
        <f>TableB1!$E14*TableB18!B38</f>
        <v>0.10942445466194317</v>
      </c>
      <c r="X38" s="21">
        <f>TableB1!$E14*TableB18!E38</f>
        <v>0.10950386161151729</v>
      </c>
      <c r="Y38" s="21">
        <f>TableB1!$E14*TableB18!H38</f>
        <v>0.10712161498454813</v>
      </c>
      <c r="Z38" s="21">
        <f>TableB1!$E14*TableB18!K38</f>
        <v>0.10378648496268938</v>
      </c>
      <c r="AA38" s="21">
        <f>TableB1!$E14*TableB18!N38</f>
        <v>0.10180127308359087</v>
      </c>
    </row>
    <row r="39" spans="1:27" ht="15" thickBot="1">
      <c r="A39" s="280">
        <v>1937</v>
      </c>
      <c r="B39" s="288">
        <v>0.2498155</v>
      </c>
      <c r="C39" s="126">
        <v>0.6490728</v>
      </c>
      <c r="D39" s="226">
        <v>0.7175608</v>
      </c>
      <c r="E39" s="288">
        <v>0.2461255</v>
      </c>
      <c r="F39" s="126">
        <v>0.6344545</v>
      </c>
      <c r="G39" s="226">
        <v>0.7081151</v>
      </c>
      <c r="H39" s="288">
        <v>0.2446494</v>
      </c>
      <c r="I39" s="126">
        <v>0.6260164</v>
      </c>
      <c r="J39" s="226">
        <v>0.6998286</v>
      </c>
      <c r="K39" s="288">
        <v>0.2391144</v>
      </c>
      <c r="L39" s="126">
        <v>0.6076034</v>
      </c>
      <c r="M39" s="226">
        <v>0.6793565</v>
      </c>
      <c r="N39" s="288">
        <v>0.2343173</v>
      </c>
      <c r="O39" s="126">
        <v>0.5784239</v>
      </c>
      <c r="P39" s="226">
        <v>0.6614802</v>
      </c>
      <c r="Q39" s="22"/>
      <c r="R39" s="22"/>
      <c r="S39" s="22"/>
      <c r="W39" s="21">
        <f>TableB1!$E15*TableB18!B39</f>
        <v>0.1055400772019881</v>
      </c>
      <c r="X39" s="21">
        <f>TableB1!$E15*TableB18!E39</f>
        <v>0.10398115517803308</v>
      </c>
      <c r="Y39" s="21">
        <f>TableB1!$E15*TableB18!H39</f>
        <v>0.10335754412124175</v>
      </c>
      <c r="Z39" s="21">
        <f>TableB1!$E15*TableB18!K39</f>
        <v>0.10101916108530921</v>
      </c>
      <c r="AA39" s="21">
        <f>TableB1!$E15*TableB18!N39</f>
        <v>0.09899252020695837</v>
      </c>
    </row>
    <row r="40" spans="1:19" ht="15.75" thickBot="1" thickTop="1">
      <c r="A40" s="327" t="s">
        <v>590</v>
      </c>
      <c r="B40" s="328"/>
      <c r="C40" s="328"/>
      <c r="D40" s="328"/>
      <c r="E40" s="328"/>
      <c r="F40" s="328"/>
      <c r="G40" s="328"/>
      <c r="H40" s="328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O5:O7"/>
    <mergeCell ref="B5:E5"/>
    <mergeCell ref="E6:E7"/>
    <mergeCell ref="F5:I5"/>
    <mergeCell ref="J5:M5"/>
    <mergeCell ref="F6:F7"/>
    <mergeCell ref="M6:M7"/>
    <mergeCell ref="J6:J7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F18:F19"/>
    <mergeCell ref="G18:G19"/>
    <mergeCell ref="H18:H19"/>
    <mergeCell ref="M18:M19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B29:D29"/>
    <mergeCell ref="E29:G29"/>
    <mergeCell ref="H29:J29"/>
    <mergeCell ref="K29:M29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A30:AA31"/>
    <mergeCell ref="N30:N31"/>
    <mergeCell ref="O30:O31"/>
    <mergeCell ref="P30:P31"/>
    <mergeCell ref="W30:W31"/>
    <mergeCell ref="A40:P40"/>
    <mergeCell ref="X30:X31"/>
    <mergeCell ref="Y30:Y31"/>
    <mergeCell ref="Z30:Z31"/>
    <mergeCell ref="J30:J31"/>
    <mergeCell ref="K30:K31"/>
    <mergeCell ref="L30:L31"/>
    <mergeCell ref="M30:M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1">
      <selection activeCell="A3" sqref="A3:I86"/>
    </sheetView>
  </sheetViews>
  <sheetFormatPr defaultColWidth="11.5546875" defaultRowHeight="15"/>
  <cols>
    <col min="1" max="9" width="11.6640625" style="0" customWidth="1"/>
    <col min="10" max="17" width="10.77734375" style="0" customWidth="1"/>
    <col min="18" max="16384" width="8.88671875" style="0" customWidth="1"/>
  </cols>
  <sheetData>
    <row r="1" spans="1:9" ht="15">
      <c r="A1" s="55"/>
      <c r="B1" s="2"/>
      <c r="C1" s="2"/>
      <c r="D1" s="2"/>
      <c r="E1" s="2"/>
      <c r="F1" s="2"/>
      <c r="G1" s="2"/>
      <c r="H1" s="2"/>
      <c r="I1" s="2"/>
    </row>
    <row r="2" spans="1:9" ht="15" thickBo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thickTop="1">
      <c r="A3" s="370" t="s">
        <v>358</v>
      </c>
      <c r="B3" s="371"/>
      <c r="C3" s="371"/>
      <c r="D3" s="371"/>
      <c r="E3" s="371"/>
      <c r="F3" s="371"/>
      <c r="G3" s="371"/>
      <c r="H3" s="371"/>
      <c r="I3" s="377"/>
    </row>
    <row r="4" spans="1:9" ht="18" customHeight="1" thickBot="1">
      <c r="A4" s="221"/>
      <c r="B4" s="323"/>
      <c r="C4" s="323"/>
      <c r="D4" s="323"/>
      <c r="E4" s="323"/>
      <c r="F4" s="323"/>
      <c r="G4" s="323"/>
      <c r="H4" s="323"/>
      <c r="I4" s="324"/>
    </row>
    <row r="5" spans="1:9" ht="18" customHeight="1" thickTop="1">
      <c r="A5" s="488"/>
      <c r="B5" s="489" t="s">
        <v>373</v>
      </c>
      <c r="C5" s="427"/>
      <c r="D5" s="427"/>
      <c r="E5" s="490"/>
      <c r="F5" s="490"/>
      <c r="G5" s="490"/>
      <c r="H5" s="490"/>
      <c r="I5" s="491"/>
    </row>
    <row r="6" spans="1:9" ht="18" customHeight="1">
      <c r="A6" s="390"/>
      <c r="B6" s="400"/>
      <c r="C6" s="401"/>
      <c r="D6" s="401"/>
      <c r="E6" s="401"/>
      <c r="F6" s="401"/>
      <c r="G6" s="401"/>
      <c r="H6" s="401"/>
      <c r="I6" s="402"/>
    </row>
    <row r="7" spans="1:9" ht="18" customHeight="1">
      <c r="A7" s="391"/>
      <c r="B7" s="113" t="s">
        <v>118</v>
      </c>
      <c r="C7" s="17" t="s">
        <v>23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28</v>
      </c>
      <c r="I7" s="182" t="s">
        <v>29</v>
      </c>
    </row>
    <row r="8" spans="1:9" ht="18" customHeight="1">
      <c r="A8" s="132">
        <v>1872</v>
      </c>
      <c r="B8" s="114">
        <f>TableB18!N9</f>
        <v>0.09226096686240427</v>
      </c>
      <c r="C8" s="111">
        <f>C20*TableB6!C53</f>
        <v>0.11976548729361092</v>
      </c>
      <c r="D8" s="112">
        <f>D20*TableB6!C53</f>
        <v>0.055535287006460876</v>
      </c>
      <c r="E8" s="112">
        <f>E20*TableB6!D53</f>
        <v>0.0896422776409108</v>
      </c>
      <c r="F8" s="112">
        <f>F20*TableB6!E53</f>
        <v>0.09355448453608248</v>
      </c>
      <c r="G8" s="112">
        <f>G20*TableB6!F53</f>
        <v>0.11960740594594596</v>
      </c>
      <c r="H8" s="112">
        <f>H20*TableB6!G53</f>
        <v>0.1344287653250774</v>
      </c>
      <c r="I8" s="258">
        <f>I20*TableB6!H53</f>
        <v>0.16728245028735633</v>
      </c>
    </row>
    <row r="9" spans="1:9" ht="18" customHeight="1">
      <c r="A9" s="132">
        <v>1882</v>
      </c>
      <c r="B9" s="115">
        <f>TableB18!N10</f>
        <v>0.0933853501891551</v>
      </c>
      <c r="C9" s="21">
        <f>C21*TableB6!C54</f>
        <v>0.09682060636237898</v>
      </c>
      <c r="D9" s="22">
        <f>D21*TableB6!C54</f>
        <v>0.052921690733056706</v>
      </c>
      <c r="E9" s="22">
        <f>E21*TableB6!D54</f>
        <v>0.0914905165843331</v>
      </c>
      <c r="F9" s="22">
        <f>F21*TableB6!E54</f>
        <v>0.0965037676555024</v>
      </c>
      <c r="G9" s="22">
        <f>G21*TableB6!F54</f>
        <v>0.10360686154043645</v>
      </c>
      <c r="H9" s="22">
        <f>H21*TableB6!G54</f>
        <v>0.11924176170212766</v>
      </c>
      <c r="I9" s="183">
        <f>I21*TableB6!H54</f>
        <v>0.10323440626587638</v>
      </c>
    </row>
    <row r="10" spans="1:9" ht="18" customHeight="1">
      <c r="A10" s="132">
        <v>1912</v>
      </c>
      <c r="B10" s="115">
        <f>TableB18!N11</f>
        <v>0.0830048253272101</v>
      </c>
      <c r="C10" s="21">
        <f>C22*TableB6!C55</f>
        <v>0.0780324189481268</v>
      </c>
      <c r="D10" s="22">
        <f>D22*TableB6!C55</f>
        <v>0.06936399891930835</v>
      </c>
      <c r="E10" s="22">
        <f>E22*TableB6!D55</f>
        <v>0.07569489211249736</v>
      </c>
      <c r="F10" s="22">
        <f>F22*TableB6!E55</f>
        <v>0.08276959702878366</v>
      </c>
      <c r="G10" s="22">
        <f>G22*TableB6!F55</f>
        <v>0.08812242858785206</v>
      </c>
      <c r="H10" s="22">
        <f>H22*TableB6!G55</f>
        <v>0.09761650410455822</v>
      </c>
      <c r="I10" s="183">
        <f>I22*TableB6!H55</f>
        <v>0.1147408690909091</v>
      </c>
    </row>
    <row r="11" spans="1:9" ht="18" customHeight="1">
      <c r="A11" s="132">
        <v>1922</v>
      </c>
      <c r="B11" s="115">
        <f>TableB18!N12</f>
        <v>0.11096470409505622</v>
      </c>
      <c r="C11" s="21">
        <f>C23*TableB6!C56</f>
        <v>0.06649592549476135</v>
      </c>
      <c r="D11" s="22">
        <f>D23*TableB6!C56</f>
        <v>0.05853983050058208</v>
      </c>
      <c r="E11" s="22">
        <f>E23*TableB6!D56</f>
        <v>0.10586569956308027</v>
      </c>
      <c r="F11" s="22">
        <f>F23*TableB6!E56</f>
        <v>0.13068423098325868</v>
      </c>
      <c r="G11" s="22">
        <f>G23*TableB6!F56</f>
        <v>0.1293014232180075</v>
      </c>
      <c r="H11" s="22">
        <f>H23*TableB6!G56</f>
        <v>0.12385974369000234</v>
      </c>
      <c r="I11" s="183">
        <f>I23*TableB6!H56</f>
        <v>0.14074393190498372</v>
      </c>
    </row>
    <row r="12" spans="1:9" ht="18" customHeight="1">
      <c r="A12" s="132">
        <v>1927</v>
      </c>
      <c r="B12" s="115">
        <f>TableB18!N13</f>
        <v>0.08854119669785361</v>
      </c>
      <c r="C12" s="21">
        <f>C24*TableB6!C57</f>
        <v>0.0741743912018853</v>
      </c>
      <c r="D12" s="22">
        <f>D24*TableB6!C57</f>
        <v>0.08122544391201886</v>
      </c>
      <c r="E12" s="22">
        <f>E24*TableB6!D57</f>
        <v>0.06399659401063532</v>
      </c>
      <c r="F12" s="22">
        <f>F24*TableB6!E57</f>
        <v>0.08070276334196892</v>
      </c>
      <c r="G12" s="22">
        <f>G24*TableB6!F57</f>
        <v>0.10671589351059874</v>
      </c>
      <c r="H12" s="22">
        <f>H24*TableB6!G57</f>
        <v>0.1261298930274494</v>
      </c>
      <c r="I12" s="183">
        <f>I24*TableB6!H57</f>
        <v>0.15114474194800157</v>
      </c>
    </row>
    <row r="13" spans="1:9" ht="18" customHeight="1">
      <c r="A13" s="132">
        <v>1932</v>
      </c>
      <c r="B13" s="115">
        <f>TableB18!N14</f>
        <v>0.10942445466194317</v>
      </c>
      <c r="C13" s="21">
        <f>C25*TableB6!C58</f>
        <v>0.10204082510204082</v>
      </c>
      <c r="D13" s="22">
        <f>D25*TableB6!C58</f>
        <v>0.10787654755102041</v>
      </c>
      <c r="E13" s="22">
        <f>E25*TableB6!D58</f>
        <v>0.07602593335367715</v>
      </c>
      <c r="F13" s="22">
        <f>F25*TableB6!E58</f>
        <v>0.09609528615669055</v>
      </c>
      <c r="G13" s="22">
        <f>G25*TableB6!F58</f>
        <v>0.1319184476829524</v>
      </c>
      <c r="H13" s="22">
        <f>H25*TableB6!G58</f>
        <v>0.14371218246738893</v>
      </c>
      <c r="I13" s="183">
        <f>I25*TableB6!H58</f>
        <v>0.1401406947826087</v>
      </c>
    </row>
    <row r="14" spans="1:9" ht="18" customHeight="1" thickBot="1">
      <c r="A14" s="135">
        <v>1937</v>
      </c>
      <c r="B14" s="300">
        <f>TableB18!N15</f>
        <v>0.1055400772019881</v>
      </c>
      <c r="C14" s="256">
        <f>C26*TableB6!C59</f>
        <v>0.06547216862376704</v>
      </c>
      <c r="D14" s="126">
        <f>D26*TableB6!C59</f>
        <v>0.06855786895255989</v>
      </c>
      <c r="E14" s="126">
        <f>E26*TableB6!D59</f>
        <v>0.07258251480954075</v>
      </c>
      <c r="F14" s="126">
        <f>F26*TableB6!E59</f>
        <v>0.09053546467391303</v>
      </c>
      <c r="G14" s="126">
        <f>G26*TableB6!F59</f>
        <v>0.1443993221860061</v>
      </c>
      <c r="H14" s="126">
        <f>H26*TableB6!G59</f>
        <v>0.14500626984126985</v>
      </c>
      <c r="I14" s="226">
        <f>I26*TableB6!H59</f>
        <v>0.1714103696572969</v>
      </c>
    </row>
    <row r="15" spans="1:9" ht="18" customHeight="1" thickBot="1" thickTop="1">
      <c r="A15" s="135" t="s">
        <v>442</v>
      </c>
      <c r="B15" s="301">
        <f aca="true" t="shared" si="0" ref="B15:I15">AVERAGE(B8:B14)</f>
        <v>0.09758879643365866</v>
      </c>
      <c r="C15" s="256">
        <f t="shared" si="0"/>
        <v>0.08611454614665302</v>
      </c>
      <c r="D15" s="126">
        <f t="shared" si="0"/>
        <v>0.07057438108214388</v>
      </c>
      <c r="E15" s="126">
        <f t="shared" si="0"/>
        <v>0.08218548972495353</v>
      </c>
      <c r="F15" s="126">
        <f t="shared" si="0"/>
        <v>0.09583508491088569</v>
      </c>
      <c r="G15" s="126">
        <f t="shared" si="0"/>
        <v>0.11766739752454274</v>
      </c>
      <c r="H15" s="126">
        <f t="shared" si="0"/>
        <v>0.1271421600225534</v>
      </c>
      <c r="I15" s="226">
        <f t="shared" si="0"/>
        <v>0.14124249484814752</v>
      </c>
    </row>
    <row r="16" spans="1:9" ht="18" customHeight="1" thickTop="1">
      <c r="A16" s="488"/>
      <c r="B16" s="489" t="s">
        <v>366</v>
      </c>
      <c r="C16" s="427"/>
      <c r="D16" s="427"/>
      <c r="E16" s="490"/>
      <c r="F16" s="490"/>
      <c r="G16" s="490"/>
      <c r="H16" s="490"/>
      <c r="I16" s="491"/>
    </row>
    <row r="17" spans="1:9" ht="18" customHeight="1">
      <c r="A17" s="390"/>
      <c r="B17" s="400"/>
      <c r="C17" s="401"/>
      <c r="D17" s="401"/>
      <c r="E17" s="401"/>
      <c r="F17" s="401"/>
      <c r="G17" s="401"/>
      <c r="H17" s="401"/>
      <c r="I17" s="402"/>
    </row>
    <row r="18" spans="1:9" ht="18" customHeight="1">
      <c r="A18" s="391"/>
      <c r="B18" s="113" t="s">
        <v>118</v>
      </c>
      <c r="C18" s="17" t="s">
        <v>23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28</v>
      </c>
      <c r="I18" s="182" t="s">
        <v>29</v>
      </c>
    </row>
    <row r="19" spans="1:9" ht="1.5" customHeight="1">
      <c r="A19" s="203"/>
      <c r="B19" s="109"/>
      <c r="C19" s="109" t="s">
        <v>367</v>
      </c>
      <c r="D19" s="110" t="s">
        <v>368</v>
      </c>
      <c r="E19" s="110" t="s">
        <v>369</v>
      </c>
      <c r="F19" s="110" t="s">
        <v>301</v>
      </c>
      <c r="G19" s="110" t="s">
        <v>370</v>
      </c>
      <c r="H19" s="110" t="s">
        <v>371</v>
      </c>
      <c r="I19" s="259" t="s">
        <v>372</v>
      </c>
    </row>
    <row r="20" spans="1:9" ht="18" customHeight="1">
      <c r="A20" s="132">
        <v>1872</v>
      </c>
      <c r="B20" s="61">
        <f>TableB18!E9</f>
        <v>0.3238719</v>
      </c>
      <c r="C20" s="21">
        <v>0.5833333</v>
      </c>
      <c r="D20" s="22">
        <v>0.2704918</v>
      </c>
      <c r="E20" s="22">
        <v>0.3155738</v>
      </c>
      <c r="F20" s="22">
        <v>0.3044444</v>
      </c>
      <c r="G20" s="22">
        <v>0.3116531</v>
      </c>
      <c r="H20" s="22">
        <v>0.3348624</v>
      </c>
      <c r="I20" s="183">
        <v>0.3571429</v>
      </c>
    </row>
    <row r="21" spans="1:9" ht="18" customHeight="1">
      <c r="A21" s="132">
        <v>1882</v>
      </c>
      <c r="B21" s="61">
        <f>TableB18!E10</f>
        <v>0.3648009</v>
      </c>
      <c r="C21" s="21">
        <v>0.5645266</v>
      </c>
      <c r="D21" s="22">
        <v>0.3085676</v>
      </c>
      <c r="E21" s="22">
        <v>0.380182</v>
      </c>
      <c r="F21" s="22">
        <v>0.3339286</v>
      </c>
      <c r="G21" s="22">
        <v>0.3180053</v>
      </c>
      <c r="H21" s="22">
        <v>0.324264</v>
      </c>
      <c r="I21" s="183">
        <v>0.2220762</v>
      </c>
    </row>
    <row r="22" spans="1:9" ht="18" customHeight="1">
      <c r="A22" s="132">
        <v>1912</v>
      </c>
      <c r="B22" s="61">
        <f>TableB18!E11</f>
        <v>0.2966952</v>
      </c>
      <c r="C22" s="21">
        <f>39.75155%-0.05</f>
        <v>0.34751550000000003</v>
      </c>
      <c r="D22" s="22">
        <v>0.3089109</v>
      </c>
      <c r="E22" s="22">
        <v>0.2736706</v>
      </c>
      <c r="F22" s="22">
        <v>0.271777</v>
      </c>
      <c r="G22" s="22">
        <v>0.2775564</v>
      </c>
      <c r="H22" s="22">
        <v>0.3084415</v>
      </c>
      <c r="I22" s="183">
        <v>0.3457944</v>
      </c>
    </row>
    <row r="23" spans="1:9" ht="18" customHeight="1">
      <c r="A23" s="132">
        <v>1922</v>
      </c>
      <c r="B23" s="61">
        <f>TableB18!E12</f>
        <v>0.3424116</v>
      </c>
      <c r="C23" s="21">
        <v>0.28</v>
      </c>
      <c r="D23" s="22">
        <v>0.2464986</v>
      </c>
      <c r="E23" s="22">
        <v>0.3324873</v>
      </c>
      <c r="F23" s="22">
        <v>0.3494526</v>
      </c>
      <c r="G23" s="22">
        <v>0.3429454</v>
      </c>
      <c r="H23" s="22">
        <v>0.3482587</v>
      </c>
      <c r="I23" s="183">
        <v>0.4050633</v>
      </c>
    </row>
    <row r="24" spans="1:9" ht="18" customHeight="1">
      <c r="A24" s="132">
        <v>1927</v>
      </c>
      <c r="B24" s="61">
        <f>TableB18!E13</f>
        <v>0.2832383</v>
      </c>
      <c r="C24" s="21">
        <v>0.296</v>
      </c>
      <c r="D24" s="22">
        <v>0.3241379</v>
      </c>
      <c r="E24" s="22">
        <v>0.2061856</v>
      </c>
      <c r="F24" s="22">
        <v>0.2155797</v>
      </c>
      <c r="G24" s="22">
        <v>0.2894191</v>
      </c>
      <c r="H24" s="22">
        <v>0.4053537</v>
      </c>
      <c r="I24" s="183">
        <v>0.5</v>
      </c>
    </row>
    <row r="25" spans="1:9" ht="18" customHeight="1">
      <c r="A25" s="132">
        <v>1932</v>
      </c>
      <c r="B25" s="61">
        <f>TableB18!E14</f>
        <v>0.286904</v>
      </c>
      <c r="C25" s="21">
        <v>0.4065041</v>
      </c>
      <c r="D25" s="22">
        <v>0.4297521</v>
      </c>
      <c r="E25" s="22">
        <v>0.2151442</v>
      </c>
      <c r="F25" s="22">
        <v>0.2277132</v>
      </c>
      <c r="G25" s="22">
        <v>0.2981607</v>
      </c>
      <c r="H25" s="22">
        <v>0.3489051</v>
      </c>
      <c r="I25" s="183">
        <v>0.3674699</v>
      </c>
    </row>
    <row r="26" spans="1:9" ht="18" customHeight="1" thickBot="1">
      <c r="A26" s="135">
        <v>1937</v>
      </c>
      <c r="B26" s="301">
        <f>TableB18!E15</f>
        <v>0.2498155</v>
      </c>
      <c r="C26" s="256">
        <v>0.2195122</v>
      </c>
      <c r="D26" s="126">
        <v>0.2298578</v>
      </c>
      <c r="E26" s="126">
        <v>0.1954787</v>
      </c>
      <c r="F26" s="126">
        <v>0.1938111</v>
      </c>
      <c r="G26" s="126">
        <v>0.2970611</v>
      </c>
      <c r="H26" s="126">
        <v>0.3125846</v>
      </c>
      <c r="I26" s="226">
        <v>0.408397</v>
      </c>
    </row>
    <row r="27" spans="1:9" ht="18" customHeight="1" thickBot="1" thickTop="1">
      <c r="A27" s="135" t="s">
        <v>442</v>
      </c>
      <c r="B27" s="301">
        <f aca="true" t="shared" si="1" ref="B27:I27">AVERAGE(B20:B26)</f>
        <v>0.3068196285714286</v>
      </c>
      <c r="C27" s="256">
        <f t="shared" si="1"/>
        <v>0.3853416714285714</v>
      </c>
      <c r="D27" s="126">
        <f t="shared" si="1"/>
        <v>0.30260238571428566</v>
      </c>
      <c r="E27" s="126">
        <f t="shared" si="1"/>
        <v>0.27410317142857143</v>
      </c>
      <c r="F27" s="126">
        <f t="shared" si="1"/>
        <v>0.2709580857142857</v>
      </c>
      <c r="G27" s="126">
        <f t="shared" si="1"/>
        <v>0.3049715857142857</v>
      </c>
      <c r="H27" s="126">
        <f t="shared" si="1"/>
        <v>0.34038142857142856</v>
      </c>
      <c r="I27" s="226">
        <f t="shared" si="1"/>
        <v>0.37227767142857143</v>
      </c>
    </row>
    <row r="28" spans="1:9" ht="18" customHeight="1" thickTop="1">
      <c r="A28" s="488"/>
      <c r="B28" s="489" t="s">
        <v>365</v>
      </c>
      <c r="C28" s="427"/>
      <c r="D28" s="427"/>
      <c r="E28" s="490"/>
      <c r="F28" s="490"/>
      <c r="G28" s="490"/>
      <c r="H28" s="490"/>
      <c r="I28" s="491"/>
    </row>
    <row r="29" spans="1:9" ht="18" customHeight="1">
      <c r="A29" s="390"/>
      <c r="B29" s="400"/>
      <c r="C29" s="401"/>
      <c r="D29" s="401"/>
      <c r="E29" s="401"/>
      <c r="F29" s="401"/>
      <c r="G29" s="401"/>
      <c r="H29" s="401"/>
      <c r="I29" s="402"/>
    </row>
    <row r="30" spans="1:9" ht="18" customHeight="1">
      <c r="A30" s="391"/>
      <c r="B30" s="113" t="s">
        <v>118</v>
      </c>
      <c r="C30" s="17" t="s">
        <v>23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28</v>
      </c>
      <c r="I30" s="182" t="s">
        <v>29</v>
      </c>
    </row>
    <row r="31" spans="1:9" ht="1.5" customHeight="1">
      <c r="A31" s="203"/>
      <c r="B31" s="108"/>
      <c r="C31" s="108" t="s">
        <v>359</v>
      </c>
      <c r="D31" s="64" t="s">
        <v>360</v>
      </c>
      <c r="E31" s="64" t="s">
        <v>361</v>
      </c>
      <c r="F31" s="64" t="s">
        <v>304</v>
      </c>
      <c r="G31" s="64" t="s">
        <v>362</v>
      </c>
      <c r="H31" s="64" t="s">
        <v>363</v>
      </c>
      <c r="I31" s="260" t="s">
        <v>364</v>
      </c>
    </row>
    <row r="32" spans="1:9" ht="18" customHeight="1">
      <c r="A32" s="132">
        <v>1872</v>
      </c>
      <c r="B32" s="61">
        <f>TableB18!O9</f>
        <v>0.617225422947714</v>
      </c>
      <c r="C32" s="21">
        <v>0.7767968</v>
      </c>
      <c r="D32" s="22">
        <v>0.6084143</v>
      </c>
      <c r="E32" s="22">
        <v>0.7911752</v>
      </c>
      <c r="F32" s="22">
        <v>0.4798048</v>
      </c>
      <c r="G32" s="22">
        <v>0.5126129</v>
      </c>
      <c r="H32" s="22">
        <v>0.6481063</v>
      </c>
      <c r="I32" s="183">
        <v>0.507158</v>
      </c>
    </row>
    <row r="33" spans="1:9" ht="18" customHeight="1">
      <c r="A33" s="132">
        <v>1882</v>
      </c>
      <c r="B33" s="61">
        <f>TableB18!O10</f>
        <v>0.6134948359993255</v>
      </c>
      <c r="C33" s="21">
        <v>0.8062059</v>
      </c>
      <c r="D33" s="22">
        <v>0.7459811</v>
      </c>
      <c r="E33" s="22">
        <v>0.7930331</v>
      </c>
      <c r="F33" s="22">
        <v>0.6705853</v>
      </c>
      <c r="G33" s="22">
        <v>0.541063</v>
      </c>
      <c r="H33" s="22">
        <v>0.3351615</v>
      </c>
      <c r="I33" s="183">
        <v>0.8130518</v>
      </c>
    </row>
    <row r="34" spans="1:9" ht="18" customHeight="1">
      <c r="A34" s="132">
        <v>1912</v>
      </c>
      <c r="B34" s="61">
        <f>TableB18!O11</f>
        <v>0.6591054065627486</v>
      </c>
      <c r="C34" s="21">
        <f>58.24761%+0.2</f>
        <v>0.7824761</v>
      </c>
      <c r="D34" s="22">
        <v>0.7349861</v>
      </c>
      <c r="E34" s="22">
        <v>0.701071</v>
      </c>
      <c r="F34" s="22">
        <v>0.7013559</v>
      </c>
      <c r="G34" s="22">
        <v>0.6619204</v>
      </c>
      <c r="H34" s="22">
        <v>0.6871674</v>
      </c>
      <c r="I34" s="183">
        <f>43.51057%+0.25</f>
        <v>0.6851057</v>
      </c>
    </row>
    <row r="35" spans="1:9" ht="18" customHeight="1">
      <c r="A35" s="132">
        <v>1922</v>
      </c>
      <c r="B35" s="61">
        <f>TableB18!O12</f>
        <v>0.5976776337589691</v>
      </c>
      <c r="C35" s="21">
        <v>0.8567477</v>
      </c>
      <c r="D35" s="22">
        <v>0.7438115</v>
      </c>
      <c r="E35" s="22">
        <v>0.7355103</v>
      </c>
      <c r="F35" s="22">
        <v>0.6162192</v>
      </c>
      <c r="G35" s="22">
        <v>0.6619001</v>
      </c>
      <c r="H35" s="22">
        <v>0.366636</v>
      </c>
      <c r="I35" s="183">
        <v>0.745997</v>
      </c>
    </row>
    <row r="36" spans="1:9" ht="18" customHeight="1">
      <c r="A36" s="132">
        <v>1927</v>
      </c>
      <c r="B36" s="61">
        <f>TableB18!O13</f>
        <v>0.5840058738521042</v>
      </c>
      <c r="C36" s="21">
        <v>0.8278577</v>
      </c>
      <c r="D36" s="22">
        <v>0.7132618</v>
      </c>
      <c r="E36" s="22">
        <v>0.6482616</v>
      </c>
      <c r="F36" s="22">
        <v>0.4796636</v>
      </c>
      <c r="G36" s="22">
        <v>0.6344257</v>
      </c>
      <c r="H36" s="22">
        <v>0.6836519</v>
      </c>
      <c r="I36" s="183">
        <v>0.5497835</v>
      </c>
    </row>
    <row r="37" spans="1:9" ht="18" customHeight="1">
      <c r="A37" s="132">
        <v>1932</v>
      </c>
      <c r="B37" s="61">
        <f>TableB18!O14</f>
        <v>0.5866861044119204</v>
      </c>
      <c r="C37" s="21">
        <v>0.7115626</v>
      </c>
      <c r="D37" s="22">
        <v>0.7946195</v>
      </c>
      <c r="E37" s="22">
        <v>0.5328116</v>
      </c>
      <c r="F37" s="22">
        <v>0.383209</v>
      </c>
      <c r="G37" s="22">
        <v>0.6204046</v>
      </c>
      <c r="H37" s="22">
        <v>0.686031</v>
      </c>
      <c r="I37" s="183">
        <v>0.5224686</v>
      </c>
    </row>
    <row r="38" spans="1:9" ht="18" customHeight="1" thickBot="1">
      <c r="A38" s="135">
        <v>1937</v>
      </c>
      <c r="B38" s="301">
        <f>TableB18!O15</f>
        <v>0.6087887169596351</v>
      </c>
      <c r="C38" s="256">
        <v>0.7428662</v>
      </c>
      <c r="D38" s="126">
        <v>0.7070369</v>
      </c>
      <c r="E38" s="126">
        <v>0.3499106</v>
      </c>
      <c r="F38" s="126">
        <v>0.5636157</v>
      </c>
      <c r="G38" s="126">
        <v>0.6403915</v>
      </c>
      <c r="H38" s="126">
        <v>0.6252655</v>
      </c>
      <c r="I38" s="226">
        <v>0.8148522</v>
      </c>
    </row>
    <row r="39" spans="1:9" ht="18" customHeight="1" thickBot="1" thickTop="1">
      <c r="A39" s="135" t="s">
        <v>442</v>
      </c>
      <c r="B39" s="301">
        <f aca="true" t="shared" si="2" ref="B39:I39">AVERAGE(B32:B38)</f>
        <v>0.6095691420703453</v>
      </c>
      <c r="C39" s="256">
        <f t="shared" si="2"/>
        <v>0.786359</v>
      </c>
      <c r="D39" s="126">
        <f t="shared" si="2"/>
        <v>0.721158742857143</v>
      </c>
      <c r="E39" s="126">
        <f t="shared" si="2"/>
        <v>0.650253342857143</v>
      </c>
      <c r="F39" s="126">
        <f t="shared" si="2"/>
        <v>0.5563505</v>
      </c>
      <c r="G39" s="126">
        <f t="shared" si="2"/>
        <v>0.6103883142857143</v>
      </c>
      <c r="H39" s="126">
        <f t="shared" si="2"/>
        <v>0.5760028</v>
      </c>
      <c r="I39" s="226">
        <f t="shared" si="2"/>
        <v>0.6626309714285714</v>
      </c>
    </row>
    <row r="40" spans="1:9" ht="18" customHeight="1" thickTop="1">
      <c r="A40" s="389"/>
      <c r="B40" s="396" t="s">
        <v>374</v>
      </c>
      <c r="C40" s="397"/>
      <c r="D40" s="397"/>
      <c r="E40" s="398"/>
      <c r="F40" s="398"/>
      <c r="G40" s="398"/>
      <c r="H40" s="398"/>
      <c r="I40" s="399"/>
    </row>
    <row r="41" spans="1:9" ht="18" customHeight="1">
      <c r="A41" s="390"/>
      <c r="B41" s="400"/>
      <c r="C41" s="401"/>
      <c r="D41" s="401"/>
      <c r="E41" s="401"/>
      <c r="F41" s="401"/>
      <c r="G41" s="401"/>
      <c r="H41" s="401"/>
      <c r="I41" s="402"/>
    </row>
    <row r="42" spans="1:9" ht="18" customHeight="1">
      <c r="A42" s="391"/>
      <c r="B42" s="113" t="s">
        <v>118</v>
      </c>
      <c r="C42" s="17" t="s">
        <v>23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28</v>
      </c>
      <c r="I42" s="182" t="s">
        <v>29</v>
      </c>
    </row>
    <row r="43" spans="1:9" ht="1.5" customHeight="1">
      <c r="A43" s="130"/>
      <c r="B43" s="108"/>
      <c r="C43" s="108" t="s">
        <v>375</v>
      </c>
      <c r="D43" s="64" t="s">
        <v>376</v>
      </c>
      <c r="E43" s="64" t="s">
        <v>377</v>
      </c>
      <c r="F43" s="64" t="s">
        <v>307</v>
      </c>
      <c r="G43" s="64" t="s">
        <v>378</v>
      </c>
      <c r="H43" s="64" t="s">
        <v>379</v>
      </c>
      <c r="I43" s="260" t="s">
        <v>380</v>
      </c>
    </row>
    <row r="44" spans="1:9" ht="18" customHeight="1">
      <c r="A44" s="132">
        <v>1872</v>
      </c>
      <c r="B44" s="61">
        <f>TableB18!P9</f>
        <v>0.7167717756416031</v>
      </c>
      <c r="C44" s="21">
        <v>0.8570579</v>
      </c>
      <c r="D44" s="22">
        <v>0.714727</v>
      </c>
      <c r="E44" s="22">
        <v>0.8226833</v>
      </c>
      <c r="F44" s="22">
        <v>0.61295</v>
      </c>
      <c r="G44" s="22">
        <v>0.6394031</v>
      </c>
      <c r="H44" s="22">
        <v>0.7883391</v>
      </c>
      <c r="I44" s="183">
        <v>0.5404024</v>
      </c>
    </row>
    <row r="45" spans="1:9" ht="18" customHeight="1">
      <c r="A45" s="132">
        <v>1882</v>
      </c>
      <c r="B45" s="61">
        <f>TableB18!P10</f>
        <v>0.7213000781800214</v>
      </c>
      <c r="C45" s="21">
        <v>0.8412293</v>
      </c>
      <c r="D45" s="22">
        <v>0.7997094</v>
      </c>
      <c r="E45" s="22">
        <v>0.8327312</v>
      </c>
      <c r="F45" s="22">
        <v>0.7244751</v>
      </c>
      <c r="G45" s="22">
        <v>0.6940314</v>
      </c>
      <c r="H45" s="22">
        <v>0.5898292</v>
      </c>
      <c r="I45" s="183">
        <v>0.8451436</v>
      </c>
    </row>
    <row r="46" spans="1:9" ht="18" customHeight="1">
      <c r="A46" s="132">
        <v>1912</v>
      </c>
      <c r="B46" s="61">
        <f>TableB18!P11</f>
        <v>0.7379537035893659</v>
      </c>
      <c r="C46" s="21">
        <v>0.8240523</v>
      </c>
      <c r="D46" s="22">
        <v>0.7718398</v>
      </c>
      <c r="E46" s="22">
        <v>0.7459328</v>
      </c>
      <c r="F46" s="22">
        <v>0.7684606</v>
      </c>
      <c r="G46" s="22">
        <v>0.7288135</v>
      </c>
      <c r="H46" s="22">
        <v>0.7756466</v>
      </c>
      <c r="I46" s="183">
        <f>62.68455%+0.15</f>
        <v>0.7768455000000001</v>
      </c>
    </row>
    <row r="47" spans="1:9" ht="18" customHeight="1">
      <c r="A47" s="132">
        <v>1922</v>
      </c>
      <c r="B47" s="61">
        <f>TableB18!P12</f>
        <v>0.7159792613598259</v>
      </c>
      <c r="C47" s="21">
        <v>0.8826308</v>
      </c>
      <c r="D47" s="22">
        <v>0.7784033</v>
      </c>
      <c r="E47" s="22">
        <v>0.7707563</v>
      </c>
      <c r="F47" s="22">
        <v>0.6752453</v>
      </c>
      <c r="G47" s="22">
        <v>0.7452452</v>
      </c>
      <c r="H47" s="22">
        <v>0.6914837</v>
      </c>
      <c r="I47" s="183">
        <v>0.8048377</v>
      </c>
    </row>
    <row r="48" spans="1:9" ht="18" customHeight="1">
      <c r="A48" s="132">
        <v>1927</v>
      </c>
      <c r="B48" s="61">
        <f>TableB18!P13</f>
        <v>0.6615241262925387</v>
      </c>
      <c r="C48" s="21">
        <v>0.8374852</v>
      </c>
      <c r="D48" s="22">
        <v>0.7453853</v>
      </c>
      <c r="E48" s="22">
        <v>0.6981446</v>
      </c>
      <c r="F48" s="22">
        <v>0.5735501</v>
      </c>
      <c r="G48" s="22">
        <v>0.7011343</v>
      </c>
      <c r="H48" s="22">
        <v>0.7939443</v>
      </c>
      <c r="I48" s="183">
        <v>0.6401558</v>
      </c>
    </row>
    <row r="49" spans="1:9" ht="18" customHeight="1">
      <c r="A49" s="132">
        <v>1932</v>
      </c>
      <c r="B49" s="61">
        <f>TableB18!P14</f>
        <v>0.655769416874891</v>
      </c>
      <c r="C49" s="21">
        <v>0.7146098</v>
      </c>
      <c r="D49" s="22">
        <v>0.817875</v>
      </c>
      <c r="E49" s="22">
        <v>0.5827601</v>
      </c>
      <c r="F49" s="22">
        <v>0.4712316</v>
      </c>
      <c r="G49" s="22">
        <v>0.6755221</v>
      </c>
      <c r="H49" s="22">
        <v>0.7422224</v>
      </c>
      <c r="I49" s="183">
        <v>0.6842117</v>
      </c>
    </row>
    <row r="50" spans="1:9" ht="18" customHeight="1" thickBot="1">
      <c r="A50" s="132">
        <v>1937</v>
      </c>
      <c r="B50" s="61">
        <f>TableB18!P14</f>
        <v>0.655769416874891</v>
      </c>
      <c r="C50" s="21">
        <v>0.7434885</v>
      </c>
      <c r="D50" s="22">
        <v>0.7281734</v>
      </c>
      <c r="E50" s="22">
        <v>0.4056436</v>
      </c>
      <c r="F50" s="22">
        <v>0.6797639</v>
      </c>
      <c r="G50" s="22">
        <v>0.7116811</v>
      </c>
      <c r="H50" s="22">
        <v>0.6961248</v>
      </c>
      <c r="I50" s="183">
        <v>0.8425732</v>
      </c>
    </row>
    <row r="51" spans="1:9" ht="18" customHeight="1" thickBot="1" thickTop="1">
      <c r="A51" s="307" t="s">
        <v>442</v>
      </c>
      <c r="B51" s="308">
        <f aca="true" t="shared" si="3" ref="B51:I51">AVERAGE(B44:B50)</f>
        <v>0.695009682687591</v>
      </c>
      <c r="C51" s="309">
        <f t="shared" si="3"/>
        <v>0.8143648285714286</v>
      </c>
      <c r="D51" s="310">
        <f t="shared" si="3"/>
        <v>0.7651590285714286</v>
      </c>
      <c r="E51" s="310">
        <f t="shared" si="3"/>
        <v>0.6940931285714286</v>
      </c>
      <c r="F51" s="310">
        <f t="shared" si="3"/>
        <v>0.6436680857142857</v>
      </c>
      <c r="G51" s="310">
        <f t="shared" si="3"/>
        <v>0.6994043857142858</v>
      </c>
      <c r="H51" s="310">
        <f t="shared" si="3"/>
        <v>0.7253700142857143</v>
      </c>
      <c r="I51" s="311">
        <f t="shared" si="3"/>
        <v>0.733452842857143</v>
      </c>
    </row>
    <row r="52" spans="1:9" ht="18" customHeight="1" thickTop="1">
      <c r="A52" s="488"/>
      <c r="B52" s="489" t="s">
        <v>381</v>
      </c>
      <c r="C52" s="427"/>
      <c r="D52" s="427"/>
      <c r="E52" s="490"/>
      <c r="F52" s="490"/>
      <c r="G52" s="490"/>
      <c r="H52" s="490"/>
      <c r="I52" s="491"/>
    </row>
    <row r="53" spans="1:9" ht="18" customHeight="1">
      <c r="A53" s="390"/>
      <c r="B53" s="400"/>
      <c r="C53" s="401"/>
      <c r="D53" s="401"/>
      <c r="E53" s="401"/>
      <c r="F53" s="401"/>
      <c r="G53" s="401"/>
      <c r="H53" s="401"/>
      <c r="I53" s="402"/>
    </row>
    <row r="54" spans="1:9" ht="18" customHeight="1">
      <c r="A54" s="391"/>
      <c r="B54" s="113" t="s">
        <v>118</v>
      </c>
      <c r="C54" s="17" t="s">
        <v>23</v>
      </c>
      <c r="D54" s="16" t="s">
        <v>24</v>
      </c>
      <c r="E54" s="16" t="s">
        <v>25</v>
      </c>
      <c r="F54" s="16" t="s">
        <v>26</v>
      </c>
      <c r="G54" s="16" t="s">
        <v>27</v>
      </c>
      <c r="H54" s="16" t="s">
        <v>28</v>
      </c>
      <c r="I54" s="182" t="s">
        <v>29</v>
      </c>
    </row>
    <row r="55" spans="1:9" ht="1.5" customHeight="1">
      <c r="A55" s="130"/>
      <c r="B55" s="108"/>
      <c r="C55" s="108" t="s">
        <v>382</v>
      </c>
      <c r="D55" s="6" t="s">
        <v>383</v>
      </c>
      <c r="E55" s="6" t="s">
        <v>384</v>
      </c>
      <c r="F55" s="6" t="s">
        <v>320</v>
      </c>
      <c r="G55" s="12" t="s">
        <v>385</v>
      </c>
      <c r="H55" s="12" t="s">
        <v>386</v>
      </c>
      <c r="I55" s="131" t="s">
        <v>387</v>
      </c>
    </row>
    <row r="56" spans="1:9" ht="18" customHeight="1">
      <c r="A56" s="132">
        <v>1872</v>
      </c>
      <c r="B56" s="61">
        <f>TableB18!I9</f>
        <v>5.087093</v>
      </c>
      <c r="C56" s="21">
        <v>4.462634</v>
      </c>
      <c r="D56" s="22">
        <v>7.111631</v>
      </c>
      <c r="E56" s="22">
        <v>5.134738</v>
      </c>
      <c r="F56" s="22">
        <v>7.321944</v>
      </c>
      <c r="G56" s="22">
        <v>5.310701</v>
      </c>
      <c r="H56" s="22">
        <v>4.151657</v>
      </c>
      <c r="I56" s="183">
        <v>1.476081</v>
      </c>
    </row>
    <row r="57" spans="1:9" ht="18" customHeight="1">
      <c r="A57" s="132">
        <v>1882</v>
      </c>
      <c r="B57" s="61">
        <f>TableB18!I10</f>
        <v>5.224844</v>
      </c>
      <c r="C57" s="21">
        <v>4.055859</v>
      </c>
      <c r="D57" s="22">
        <v>5.414734</v>
      </c>
      <c r="E57" s="22">
        <v>6.386481</v>
      </c>
      <c r="F57" s="22">
        <v>5.13554</v>
      </c>
      <c r="G57" s="22">
        <v>5.220047</v>
      </c>
      <c r="H57" s="22">
        <v>3.874526</v>
      </c>
      <c r="I57" s="183">
        <v>3.750434</v>
      </c>
    </row>
    <row r="58" spans="1:9" ht="18" customHeight="1">
      <c r="A58" s="132">
        <v>1912</v>
      </c>
      <c r="B58" s="61">
        <f>TableB18!I11</f>
        <v>3.638149</v>
      </c>
      <c r="C58" s="21">
        <v>2.980733</v>
      </c>
      <c r="D58" s="22">
        <v>4.118808</v>
      </c>
      <c r="E58" s="22">
        <v>3.892789</v>
      </c>
      <c r="F58" s="22">
        <v>3.781124</v>
      </c>
      <c r="G58" s="22">
        <v>3.70361</v>
      </c>
      <c r="H58" s="22">
        <v>2.720194</v>
      </c>
      <c r="I58" s="183">
        <v>2.097048</v>
      </c>
    </row>
    <row r="59" spans="1:9" ht="18" customHeight="1">
      <c r="A59" s="132">
        <v>1922</v>
      </c>
      <c r="B59" s="61">
        <f>TableB18!I12</f>
        <v>4.25209</v>
      </c>
      <c r="C59" s="21">
        <v>2.992339</v>
      </c>
      <c r="D59" s="22">
        <v>7.208232</v>
      </c>
      <c r="E59" s="22">
        <v>4.850213</v>
      </c>
      <c r="F59" s="22">
        <v>4.815525</v>
      </c>
      <c r="G59" s="22">
        <v>4.37326</v>
      </c>
      <c r="H59" s="22">
        <v>3.752133</v>
      </c>
      <c r="I59" s="183">
        <v>1.840952</v>
      </c>
    </row>
    <row r="60" spans="1:9" ht="18" customHeight="1">
      <c r="A60" s="132">
        <v>1927</v>
      </c>
      <c r="B60" s="61">
        <f>TableB18!I13</f>
        <v>5.401876</v>
      </c>
      <c r="C60" s="21">
        <v>3.886508</v>
      </c>
      <c r="D60" s="22">
        <v>6.941224</v>
      </c>
      <c r="E60" s="22">
        <v>10.48978</v>
      </c>
      <c r="F60" s="22">
        <v>4.691611</v>
      </c>
      <c r="G60" s="22">
        <v>6.864061</v>
      </c>
      <c r="H60" s="22">
        <v>4.189172</v>
      </c>
      <c r="I60" s="183">
        <v>4.57865</v>
      </c>
    </row>
    <row r="61" spans="1:9" ht="18" customHeight="1">
      <c r="A61" s="132">
        <v>1932</v>
      </c>
      <c r="B61" s="61">
        <f>TableB18!I14</f>
        <v>6.256286</v>
      </c>
      <c r="C61" s="21">
        <v>7.489356</v>
      </c>
      <c r="D61" s="22">
        <v>10.39811</v>
      </c>
      <c r="E61" s="22">
        <v>10.4326</v>
      </c>
      <c r="F61" s="22">
        <v>7.155655</v>
      </c>
      <c r="G61" s="22">
        <v>5.438041</v>
      </c>
      <c r="H61" s="22">
        <v>7.454978</v>
      </c>
      <c r="I61" s="183">
        <v>3.196176</v>
      </c>
    </row>
    <row r="62" spans="1:9" ht="18" customHeight="1" thickBot="1">
      <c r="A62" s="135">
        <v>1937</v>
      </c>
      <c r="B62" s="301">
        <f>TableB18!I15</f>
        <v>6.338244</v>
      </c>
      <c r="C62" s="256">
        <v>7.391709</v>
      </c>
      <c r="D62" s="126">
        <v>15.65363</v>
      </c>
      <c r="E62" s="126">
        <v>4.338118</v>
      </c>
      <c r="F62" s="126">
        <v>6.92128</v>
      </c>
      <c r="G62" s="126">
        <v>7.712653</v>
      </c>
      <c r="H62" s="126">
        <v>6.819184</v>
      </c>
      <c r="I62" s="226">
        <v>4.366308</v>
      </c>
    </row>
    <row r="63" spans="1:9" ht="18" customHeight="1" thickTop="1">
      <c r="A63" s="488"/>
      <c r="B63" s="489" t="s">
        <v>388</v>
      </c>
      <c r="C63" s="427"/>
      <c r="D63" s="427"/>
      <c r="E63" s="490"/>
      <c r="F63" s="490"/>
      <c r="G63" s="490"/>
      <c r="H63" s="490"/>
      <c r="I63" s="491"/>
    </row>
    <row r="64" spans="1:9" ht="18" customHeight="1">
      <c r="A64" s="390"/>
      <c r="B64" s="400"/>
      <c r="C64" s="401"/>
      <c r="D64" s="401"/>
      <c r="E64" s="401"/>
      <c r="F64" s="401"/>
      <c r="G64" s="401"/>
      <c r="H64" s="401"/>
      <c r="I64" s="402"/>
    </row>
    <row r="65" spans="1:9" ht="18" customHeight="1">
      <c r="A65" s="391"/>
      <c r="B65" s="113" t="s">
        <v>118</v>
      </c>
      <c r="C65" s="17" t="s">
        <v>23</v>
      </c>
      <c r="D65" s="16" t="s">
        <v>24</v>
      </c>
      <c r="E65" s="16" t="s">
        <v>25</v>
      </c>
      <c r="F65" s="16" t="s">
        <v>26</v>
      </c>
      <c r="G65" s="16" t="s">
        <v>27</v>
      </c>
      <c r="H65" s="16" t="s">
        <v>28</v>
      </c>
      <c r="I65" s="182" t="s">
        <v>29</v>
      </c>
    </row>
    <row r="66" spans="1:9" ht="1.5" customHeight="1">
      <c r="A66" s="130"/>
      <c r="B66" s="108"/>
      <c r="C66" s="108" t="s">
        <v>389</v>
      </c>
      <c r="D66" s="6" t="s">
        <v>390</v>
      </c>
      <c r="E66" s="6" t="s">
        <v>391</v>
      </c>
      <c r="F66" s="6" t="s">
        <v>321</v>
      </c>
      <c r="G66" s="12" t="s">
        <v>392</v>
      </c>
      <c r="H66" s="12" t="s">
        <v>393</v>
      </c>
      <c r="I66" s="131" t="s">
        <v>394</v>
      </c>
    </row>
    <row r="67" spans="1:9" ht="18" customHeight="1">
      <c r="A67" s="132">
        <v>1872</v>
      </c>
      <c r="B67" s="61">
        <f>TableB18!M9</f>
        <v>0.2600653</v>
      </c>
      <c r="C67" s="21">
        <v>0.1798662</v>
      </c>
      <c r="D67" s="22">
        <v>0.1592329</v>
      </c>
      <c r="E67" s="22">
        <v>0.0635343</v>
      </c>
      <c r="F67" s="22">
        <v>0.2920685</v>
      </c>
      <c r="G67" s="22">
        <v>0.266102</v>
      </c>
      <c r="H67" s="22">
        <v>0.334599</v>
      </c>
      <c r="I67" s="183">
        <v>0.4285797</v>
      </c>
    </row>
    <row r="68" spans="1:9" ht="18" customHeight="1">
      <c r="A68" s="132">
        <v>1882</v>
      </c>
      <c r="B68" s="61">
        <f>TableB18!M10</f>
        <v>0.2789232</v>
      </c>
      <c r="C68" s="21">
        <v>0.162979</v>
      </c>
      <c r="D68" s="22">
        <v>0.2432207</v>
      </c>
      <c r="E68" s="22">
        <v>0.140925</v>
      </c>
      <c r="F68" s="22">
        <v>0.1832114</v>
      </c>
      <c r="G68" s="22">
        <v>0.3542428</v>
      </c>
      <c r="H68" s="22">
        <v>0.3378282</v>
      </c>
      <c r="I68" s="183">
        <v>0.1696161</v>
      </c>
    </row>
    <row r="69" spans="1:9" ht="18" customHeight="1">
      <c r="A69" s="132">
        <v>1912</v>
      </c>
      <c r="B69" s="61">
        <f>TableB18!M11</f>
        <v>0.2312983</v>
      </c>
      <c r="C69" s="21">
        <v>0.5719585</v>
      </c>
      <c r="D69" s="22">
        <v>0.1362509</v>
      </c>
      <c r="E69" s="22">
        <v>0.1650038</v>
      </c>
      <c r="F69" s="22">
        <v>0.228471</v>
      </c>
      <c r="G69" s="22">
        <v>0.2028397</v>
      </c>
      <c r="H69" s="22">
        <v>0.3225837</v>
      </c>
      <c r="I69" s="183">
        <v>0.2819999</v>
      </c>
    </row>
    <row r="70" spans="1:9" ht="18" customHeight="1">
      <c r="A70" s="132">
        <v>1922</v>
      </c>
      <c r="B70" s="61">
        <f>TableB18!M12</f>
        <v>0.2940468</v>
      </c>
      <c r="C70" s="21">
        <v>0.1876641</v>
      </c>
      <c r="D70" s="22">
        <v>0.1377877</v>
      </c>
      <c r="E70" s="22">
        <v>0.1172655</v>
      </c>
      <c r="F70" s="22">
        <v>0.1232086</v>
      </c>
      <c r="G70" s="22">
        <v>0.2026603</v>
      </c>
      <c r="H70" s="22">
        <v>0.2746158</v>
      </c>
      <c r="I70" s="183">
        <v>0.4832525</v>
      </c>
    </row>
    <row r="71" spans="1:9" ht="18" customHeight="1">
      <c r="A71" s="132">
        <v>1927</v>
      </c>
      <c r="B71" s="61">
        <f>TableB18!M13</f>
        <v>0.1863445</v>
      </c>
      <c r="C71" s="21">
        <v>0.0710342</v>
      </c>
      <c r="D71" s="22">
        <v>0.0929906</v>
      </c>
      <c r="E71" s="22">
        <v>0.0969841</v>
      </c>
      <c r="F71" s="22">
        <v>0.1426989</v>
      </c>
      <c r="G71" s="22">
        <v>0.1761712</v>
      </c>
      <c r="H71" s="22">
        <v>0.2936449</v>
      </c>
      <c r="I71" s="183">
        <v>0.1803303</v>
      </c>
    </row>
    <row r="72" spans="1:9" ht="18" customHeight="1">
      <c r="A72" s="132">
        <v>1932</v>
      </c>
      <c r="B72" s="61">
        <f>TableB18!M14</f>
        <v>0.1671449</v>
      </c>
      <c r="C72" s="21">
        <v>0.0120638</v>
      </c>
      <c r="D72" s="22">
        <v>0.0954425</v>
      </c>
      <c r="E72" s="22">
        <v>0.0758101</v>
      </c>
      <c r="F72" s="22">
        <v>0.1227136</v>
      </c>
      <c r="G72" s="22">
        <v>0.1351881</v>
      </c>
      <c r="H72" s="22">
        <v>0.1508487</v>
      </c>
      <c r="I72" s="183">
        <v>0.428491</v>
      </c>
    </row>
    <row r="73" spans="1:9" ht="18" customHeight="1">
      <c r="A73" s="132">
        <v>1937</v>
      </c>
      <c r="B73" s="61">
        <f>TableB18!M15</f>
        <v>0.164201</v>
      </c>
      <c r="C73" s="21">
        <v>0.0037229</v>
      </c>
      <c r="D73" s="22">
        <v>0.0575895</v>
      </c>
      <c r="E73" s="22">
        <v>0.0970952</v>
      </c>
      <c r="F73" s="22">
        <v>0.1845715</v>
      </c>
      <c r="G73" s="22">
        <v>0.1021622</v>
      </c>
      <c r="H73" s="22">
        <v>0.2834479</v>
      </c>
      <c r="I73" s="183">
        <v>0.23047</v>
      </c>
    </row>
    <row r="74" spans="1:9" ht="4.5" customHeight="1" thickBot="1">
      <c r="A74" s="302"/>
      <c r="B74" s="303"/>
      <c r="C74" s="171"/>
      <c r="D74" s="171"/>
      <c r="E74" s="171"/>
      <c r="F74" s="171"/>
      <c r="G74" s="171"/>
      <c r="H74" s="171"/>
      <c r="I74" s="172"/>
    </row>
    <row r="75" spans="1:9" ht="18" customHeight="1" thickTop="1">
      <c r="A75" s="390"/>
      <c r="B75" s="492" t="s">
        <v>395</v>
      </c>
      <c r="C75" s="323"/>
      <c r="D75" s="323"/>
      <c r="E75" s="401"/>
      <c r="F75" s="401"/>
      <c r="G75" s="401"/>
      <c r="H75" s="401"/>
      <c r="I75" s="402"/>
    </row>
    <row r="76" spans="1:9" ht="18" customHeight="1">
      <c r="A76" s="390"/>
      <c r="B76" s="400"/>
      <c r="C76" s="401"/>
      <c r="D76" s="401"/>
      <c r="E76" s="401"/>
      <c r="F76" s="401"/>
      <c r="G76" s="401"/>
      <c r="H76" s="401"/>
      <c r="I76" s="402"/>
    </row>
    <row r="77" spans="1:9" ht="18" customHeight="1">
      <c r="A77" s="391"/>
      <c r="B77" s="113" t="s">
        <v>118</v>
      </c>
      <c r="C77" s="16" t="s">
        <v>23</v>
      </c>
      <c r="D77" s="16" t="s">
        <v>24</v>
      </c>
      <c r="E77" s="16" t="s">
        <v>25</v>
      </c>
      <c r="F77" s="16" t="s">
        <v>26</v>
      </c>
      <c r="G77" s="16" t="s">
        <v>27</v>
      </c>
      <c r="H77" s="16" t="s">
        <v>28</v>
      </c>
      <c r="I77" s="182" t="s">
        <v>29</v>
      </c>
    </row>
    <row r="78" spans="1:9" ht="1.5" customHeight="1">
      <c r="A78" s="130"/>
      <c r="B78" s="19"/>
      <c r="C78" s="6" t="s">
        <v>396</v>
      </c>
      <c r="D78" s="6" t="s">
        <v>397</v>
      </c>
      <c r="E78" s="6" t="s">
        <v>398</v>
      </c>
      <c r="F78" s="6" t="s">
        <v>399</v>
      </c>
      <c r="G78" s="12" t="s">
        <v>400</v>
      </c>
      <c r="H78" s="12" t="s">
        <v>401</v>
      </c>
      <c r="I78" s="131" t="s">
        <v>402</v>
      </c>
    </row>
    <row r="79" spans="1:9" ht="18" customHeight="1">
      <c r="A79" s="132">
        <v>1872</v>
      </c>
      <c r="B79" s="29">
        <f aca="true" t="shared" si="4" ref="B79:B85">SUM(C79:I79)</f>
        <v>566</v>
      </c>
      <c r="C79" s="30">
        <v>32</v>
      </c>
      <c r="D79" s="30">
        <v>82</v>
      </c>
      <c r="E79" s="30">
        <v>121</v>
      </c>
      <c r="F79" s="30">
        <v>118</v>
      </c>
      <c r="G79" s="30">
        <v>130</v>
      </c>
      <c r="H79" s="30">
        <v>74</v>
      </c>
      <c r="I79" s="161">
        <v>9</v>
      </c>
    </row>
    <row r="80" spans="1:9" ht="18" customHeight="1">
      <c r="A80" s="132">
        <v>1882</v>
      </c>
      <c r="B80" s="29">
        <f t="shared" si="4"/>
        <v>895</v>
      </c>
      <c r="C80" s="30">
        <v>73</v>
      </c>
      <c r="D80" s="30">
        <v>117</v>
      </c>
      <c r="E80" s="30">
        <v>169</v>
      </c>
      <c r="F80" s="30">
        <v>227</v>
      </c>
      <c r="G80" s="30">
        <v>187</v>
      </c>
      <c r="H80" s="30">
        <v>95</v>
      </c>
      <c r="I80" s="161">
        <v>27</v>
      </c>
    </row>
    <row r="81" spans="1:9" ht="18" customHeight="1">
      <c r="A81" s="132">
        <v>1912</v>
      </c>
      <c r="B81" s="29">
        <f t="shared" si="4"/>
        <v>986</v>
      </c>
      <c r="C81" s="30">
        <v>35</v>
      </c>
      <c r="D81" s="30">
        <v>114</v>
      </c>
      <c r="E81" s="30">
        <v>181</v>
      </c>
      <c r="F81" s="30">
        <v>242</v>
      </c>
      <c r="G81" s="30">
        <v>244</v>
      </c>
      <c r="H81" s="30">
        <v>127</v>
      </c>
      <c r="I81" s="161">
        <v>43</v>
      </c>
    </row>
    <row r="82" spans="1:9" ht="18" customHeight="1">
      <c r="A82" s="132">
        <v>1922</v>
      </c>
      <c r="B82" s="29">
        <f t="shared" si="4"/>
        <v>931</v>
      </c>
      <c r="C82" s="30">
        <v>25</v>
      </c>
      <c r="D82" s="30">
        <v>69</v>
      </c>
      <c r="E82" s="30">
        <v>169</v>
      </c>
      <c r="F82" s="30">
        <v>253</v>
      </c>
      <c r="G82" s="30">
        <v>252</v>
      </c>
      <c r="H82" s="30">
        <v>133</v>
      </c>
      <c r="I82" s="161">
        <v>30</v>
      </c>
    </row>
    <row r="83" spans="1:9" ht="18" customHeight="1">
      <c r="A83" s="132">
        <v>1927</v>
      </c>
      <c r="B83" s="29">
        <f t="shared" si="4"/>
        <v>938</v>
      </c>
      <c r="C83" s="30">
        <v>22</v>
      </c>
      <c r="D83" s="30">
        <v>62</v>
      </c>
      <c r="E83" s="30">
        <v>152</v>
      </c>
      <c r="F83" s="30">
        <v>240</v>
      </c>
      <c r="G83" s="30">
        <v>262</v>
      </c>
      <c r="H83" s="30">
        <v>170</v>
      </c>
      <c r="I83" s="161">
        <v>30</v>
      </c>
    </row>
    <row r="84" spans="1:9" ht="18" customHeight="1">
      <c r="A84" s="132">
        <v>1932</v>
      </c>
      <c r="B84" s="29">
        <f t="shared" si="4"/>
        <v>1088</v>
      </c>
      <c r="C84" s="30">
        <v>25</v>
      </c>
      <c r="D84" s="30">
        <v>74</v>
      </c>
      <c r="E84" s="30">
        <v>166</v>
      </c>
      <c r="F84" s="30">
        <v>237</v>
      </c>
      <c r="G84" s="30">
        <v>302</v>
      </c>
      <c r="H84" s="30">
        <v>218</v>
      </c>
      <c r="I84" s="161">
        <v>66</v>
      </c>
    </row>
    <row r="85" spans="1:9" ht="18" customHeight="1" thickBot="1">
      <c r="A85" s="135">
        <v>1937</v>
      </c>
      <c r="B85" s="261">
        <f t="shared" si="4"/>
        <v>1190</v>
      </c>
      <c r="C85" s="136">
        <v>21</v>
      </c>
      <c r="D85" s="136">
        <v>74</v>
      </c>
      <c r="E85" s="136">
        <v>140</v>
      </c>
      <c r="F85" s="136">
        <v>289</v>
      </c>
      <c r="G85" s="136">
        <v>334</v>
      </c>
      <c r="H85" s="136">
        <v>243</v>
      </c>
      <c r="I85" s="262">
        <v>89</v>
      </c>
    </row>
    <row r="86" spans="1:9" ht="15.75" thickBot="1" thickTop="1">
      <c r="A86" s="327" t="s">
        <v>591</v>
      </c>
      <c r="B86" s="328"/>
      <c r="C86" s="328"/>
      <c r="D86" s="328"/>
      <c r="E86" s="328"/>
      <c r="F86" s="328"/>
      <c r="G86" s="328"/>
      <c r="H86" s="328"/>
      <c r="I86" s="313"/>
    </row>
    <row r="87" ht="15" thickTop="1"/>
  </sheetData>
  <mergeCells count="17">
    <mergeCell ref="A3:I3"/>
    <mergeCell ref="B4:I4"/>
    <mergeCell ref="A40:A42"/>
    <mergeCell ref="A16:A18"/>
    <mergeCell ref="B16:I17"/>
    <mergeCell ref="A28:A30"/>
    <mergeCell ref="A5:A7"/>
    <mergeCell ref="B5:I6"/>
    <mergeCell ref="B28:I29"/>
    <mergeCell ref="A86:I86"/>
    <mergeCell ref="A52:A54"/>
    <mergeCell ref="B40:I41"/>
    <mergeCell ref="B52:I53"/>
    <mergeCell ref="B75:I76"/>
    <mergeCell ref="A63:A65"/>
    <mergeCell ref="B63:I64"/>
    <mergeCell ref="A75:A7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3" sqref="A3:I17"/>
    </sheetView>
  </sheetViews>
  <sheetFormatPr defaultColWidth="11.5546875" defaultRowHeight="15"/>
  <cols>
    <col min="1" max="9" width="11.21484375" style="0" customWidth="1"/>
    <col min="10" max="27" width="10.77734375" style="0" customWidth="1"/>
    <col min="28" max="16384" width="8.8867187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2"/>
    </row>
    <row r="2" spans="1:9" ht="15" thickBot="1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 thickTop="1">
      <c r="A3" s="346" t="s">
        <v>271</v>
      </c>
      <c r="B3" s="348"/>
      <c r="C3" s="348"/>
      <c r="D3" s="348"/>
      <c r="E3" s="348"/>
      <c r="F3" s="348"/>
      <c r="G3" s="348"/>
      <c r="H3" s="348"/>
      <c r="I3" s="322"/>
      <c r="J3" s="3"/>
    </row>
    <row r="4" spans="1:9" ht="18" customHeight="1" thickBot="1">
      <c r="A4" s="127"/>
      <c r="B4" s="323"/>
      <c r="C4" s="323"/>
      <c r="D4" s="323"/>
      <c r="E4" s="323"/>
      <c r="F4" s="323"/>
      <c r="G4" s="323"/>
      <c r="H4" s="323"/>
      <c r="I4" s="324"/>
    </row>
    <row r="5" spans="1:10" ht="34.5" customHeight="1">
      <c r="A5" s="128"/>
      <c r="B5" s="335" t="s">
        <v>96</v>
      </c>
      <c r="C5" s="338" t="s">
        <v>447</v>
      </c>
      <c r="D5" s="338" t="s">
        <v>97</v>
      </c>
      <c r="E5" s="330" t="s">
        <v>99</v>
      </c>
      <c r="F5" s="335" t="s">
        <v>3</v>
      </c>
      <c r="G5" s="338" t="s">
        <v>447</v>
      </c>
      <c r="H5" s="338" t="s">
        <v>98</v>
      </c>
      <c r="I5" s="325" t="s">
        <v>100</v>
      </c>
      <c r="J5" s="9"/>
    </row>
    <row r="6" spans="1:10" ht="34.5" customHeight="1">
      <c r="A6" s="128"/>
      <c r="B6" s="318"/>
      <c r="C6" s="321"/>
      <c r="D6" s="321"/>
      <c r="E6" s="316"/>
      <c r="F6" s="318"/>
      <c r="G6" s="321"/>
      <c r="H6" s="321"/>
      <c r="I6" s="320"/>
      <c r="J6" s="10"/>
    </row>
    <row r="7" spans="1:10" ht="24.75" customHeight="1">
      <c r="A7" s="129"/>
      <c r="B7" s="319"/>
      <c r="C7" s="317"/>
      <c r="D7" s="317"/>
      <c r="E7" s="312"/>
      <c r="F7" s="319"/>
      <c r="G7" s="317"/>
      <c r="H7" s="317"/>
      <c r="I7" s="315"/>
      <c r="J7" s="9"/>
    </row>
    <row r="8" spans="1:9" ht="1.5" customHeight="1">
      <c r="A8" s="130"/>
      <c r="B8" s="139" t="s">
        <v>183</v>
      </c>
      <c r="C8" s="6"/>
      <c r="D8" s="6" t="s">
        <v>184</v>
      </c>
      <c r="E8" s="151"/>
      <c r="F8" s="6" t="s">
        <v>185</v>
      </c>
      <c r="G8" s="6"/>
      <c r="H8" s="6" t="s">
        <v>186</v>
      </c>
      <c r="I8" s="131"/>
    </row>
    <row r="9" spans="1:9" ht="18" customHeight="1">
      <c r="A9" s="132">
        <v>1872</v>
      </c>
      <c r="B9" s="141">
        <v>135</v>
      </c>
      <c r="C9" s="133">
        <f>B9/TableB1!C9</f>
        <v>0.0063418988114811855</v>
      </c>
      <c r="D9" s="30">
        <v>-9.17037</v>
      </c>
      <c r="E9" s="158">
        <f>B9*D9/(1000000*TableB1!$H9)</f>
        <v>-2.0266740880598654E-06</v>
      </c>
      <c r="F9" s="30">
        <v>65</v>
      </c>
      <c r="G9" s="133">
        <f>F9/TableB1!C9</f>
        <v>0.003053506835157608</v>
      </c>
      <c r="H9" s="30">
        <v>47859.34</v>
      </c>
      <c r="I9" s="134">
        <f>F9*H9/(1000000*TableB1!$H9)</f>
        <v>0.005092644370645618</v>
      </c>
    </row>
    <row r="10" spans="1:9" ht="18" customHeight="1">
      <c r="A10" s="132">
        <v>1882</v>
      </c>
      <c r="B10" s="141">
        <v>242</v>
      </c>
      <c r="C10" s="133">
        <f>B10/TableB1!C10</f>
        <v>0.007629255989911728</v>
      </c>
      <c r="D10" s="30">
        <v>-2155.362</v>
      </c>
      <c r="E10" s="158">
        <f>B10*D10/(1000000*TableB1!$H10)</f>
        <v>-0.000591795396477817</v>
      </c>
      <c r="F10" s="30">
        <v>133</v>
      </c>
      <c r="G10" s="133">
        <f>F10/TableB1!C10</f>
        <v>0.004192938209331652</v>
      </c>
      <c r="H10" s="30">
        <v>56249.51</v>
      </c>
      <c r="I10" s="134">
        <f>F10*H10/(1000000*TableB1!$H10)</f>
        <v>0.008488019708375961</v>
      </c>
    </row>
    <row r="11" spans="1:10" ht="21.75" customHeight="1">
      <c r="A11" s="132">
        <v>1912</v>
      </c>
      <c r="B11" s="141">
        <v>23</v>
      </c>
      <c r="C11" s="133">
        <f>B11/TableB1!C11</f>
        <v>0.0006601607347876005</v>
      </c>
      <c r="D11" s="30">
        <v>-14473.87</v>
      </c>
      <c r="E11" s="158">
        <f>B11*D11/(1000000*TableB1!$H11)</f>
        <v>-0.00024290906934550544</v>
      </c>
      <c r="F11" s="30">
        <v>152</v>
      </c>
      <c r="G11" s="133">
        <f>F11/TableB1!C11</f>
        <v>0.004362801377726751</v>
      </c>
      <c r="H11" s="30">
        <v>19211.25</v>
      </c>
      <c r="I11" s="134">
        <f>F11*H11/(1000000*TableB1!$H11)</f>
        <v>0.0021307398976239188</v>
      </c>
      <c r="J11" s="8"/>
    </row>
    <row r="12" spans="1:10" ht="21.75" customHeight="1">
      <c r="A12" s="132">
        <v>1922</v>
      </c>
      <c r="B12" s="141">
        <v>136</v>
      </c>
      <c r="C12" s="133">
        <f>B12/TableB1!C12</f>
        <v>0.004809392460570054</v>
      </c>
      <c r="D12" s="30">
        <v>-47587.87</v>
      </c>
      <c r="E12" s="158">
        <f>B12*D12/(1000000*TableB1!H12)</f>
        <v>-0.003606950080625809</v>
      </c>
      <c r="F12" s="30">
        <v>78</v>
      </c>
      <c r="G12" s="133">
        <f>F12/TableB1!C12</f>
        <v>0.002758328028856355</v>
      </c>
      <c r="H12" s="30">
        <v>24209.01</v>
      </c>
      <c r="I12" s="134">
        <f>F12*H12/(1000000*TableB1!$H12)</f>
        <v>0.0010523897013731925</v>
      </c>
      <c r="J12" s="8"/>
    </row>
    <row r="13" spans="1:10" ht="21.75" customHeight="1">
      <c r="A13" s="132">
        <v>1927</v>
      </c>
      <c r="B13" s="141">
        <v>173</v>
      </c>
      <c r="C13" s="133">
        <f>B13/TableB1!C13</f>
        <v>0.005600699278060151</v>
      </c>
      <c r="D13" s="30">
        <v>-34761.53</v>
      </c>
      <c r="E13" s="158">
        <f>B13*D13/(1000000*TableB1!H13)</f>
        <v>-0.002347775078408205</v>
      </c>
      <c r="F13" s="30">
        <v>100</v>
      </c>
      <c r="G13" s="133">
        <f>F13/TableB1!C13</f>
        <v>0.0032373984266243646</v>
      </c>
      <c r="H13" s="30">
        <v>36982.28</v>
      </c>
      <c r="I13" s="134">
        <f>F13*H13/(1000000*TableB1!$H13)</f>
        <v>0.0014437938389884359</v>
      </c>
      <c r="J13" s="8"/>
    </row>
    <row r="14" spans="1:10" ht="21.75" customHeight="1">
      <c r="A14" s="132">
        <v>1932</v>
      </c>
      <c r="B14" s="141">
        <v>255</v>
      </c>
      <c r="C14" s="133">
        <f>B14/TableB1!C14</f>
        <v>0.009610311298711087</v>
      </c>
      <c r="D14" s="30">
        <v>-91591.59</v>
      </c>
      <c r="E14" s="158">
        <f>B14*D14/(1000000*TableB1!H14)</f>
        <v>-0.007066965370607766</v>
      </c>
      <c r="F14" s="30">
        <v>43</v>
      </c>
      <c r="G14" s="133">
        <f>F14/TableB1!C14</f>
        <v>0.0016205622974297129</v>
      </c>
      <c r="H14" s="30">
        <v>314187</v>
      </c>
      <c r="I14" s="134">
        <f>F14*H14/(1000000*TableB1!$H14)</f>
        <v>0.004087839647187537</v>
      </c>
      <c r="J14" s="8"/>
    </row>
    <row r="15" spans="1:10" ht="21.75" customHeight="1" thickBot="1">
      <c r="A15" s="135">
        <v>1937</v>
      </c>
      <c r="B15" s="159">
        <v>189</v>
      </c>
      <c r="C15" s="137">
        <f>B15/TableB1!C15</f>
        <v>0.007699828892691274</v>
      </c>
      <c r="D15" s="136">
        <v>-82431.72</v>
      </c>
      <c r="E15" s="160">
        <f>B15*D15/(1000000*TableB1!H15)</f>
        <v>-0.005536456561840996</v>
      </c>
      <c r="F15" s="136">
        <v>79</v>
      </c>
      <c r="G15" s="137">
        <f>F15/TableB1!C15</f>
        <v>0.00321844699747413</v>
      </c>
      <c r="H15" s="136">
        <v>33735.19</v>
      </c>
      <c r="I15" s="138">
        <f>F15*H15/(1000000*TableB1!$H15)</f>
        <v>0.0009470785109259572</v>
      </c>
      <c r="J15" s="8"/>
    </row>
    <row r="16" spans="1:9" ht="21.75" customHeight="1" thickBot="1" thickTop="1">
      <c r="A16" s="173" t="s">
        <v>442</v>
      </c>
      <c r="B16" s="174">
        <f>SUM(B9:B15)</f>
        <v>1153</v>
      </c>
      <c r="C16" s="175">
        <f>B16/TableB1!C16</f>
        <v>0.005820469070239381</v>
      </c>
      <c r="D16" s="176"/>
      <c r="E16" s="177"/>
      <c r="F16" s="174">
        <f>SUM(F9:F15)</f>
        <v>650</v>
      </c>
      <c r="G16" s="175">
        <f>F16/TableB1!C16</f>
        <v>0.0032812705079406745</v>
      </c>
      <c r="H16" s="177"/>
      <c r="I16" s="178"/>
    </row>
    <row r="17" spans="1:12" ht="15.75" thickBot="1" thickTop="1">
      <c r="A17" s="327" t="s">
        <v>450</v>
      </c>
      <c r="B17" s="328"/>
      <c r="C17" s="328"/>
      <c r="D17" s="328"/>
      <c r="E17" s="328"/>
      <c r="F17" s="328"/>
      <c r="G17" s="328"/>
      <c r="H17" s="328"/>
      <c r="I17" s="328"/>
      <c r="J17" s="179"/>
      <c r="K17" s="180"/>
      <c r="L17" s="180"/>
    </row>
    <row r="18" ht="15" thickTop="1"/>
  </sheetData>
  <mergeCells count="11">
    <mergeCell ref="C5:C7"/>
    <mergeCell ref="G5:G7"/>
    <mergeCell ref="A17:I17"/>
    <mergeCell ref="A3:I3"/>
    <mergeCell ref="B4:I4"/>
    <mergeCell ref="F5:F7"/>
    <mergeCell ref="B5:B7"/>
    <mergeCell ref="H5:H7"/>
    <mergeCell ref="I5:I7"/>
    <mergeCell ref="D5:D7"/>
    <mergeCell ref="E5:E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workbookViewId="0" topLeftCell="A1">
      <selection activeCell="A3" sqref="A3:G92"/>
    </sheetView>
  </sheetViews>
  <sheetFormatPr defaultColWidth="11.5546875" defaultRowHeight="15"/>
  <cols>
    <col min="1" max="7" width="13.6640625" style="0" customWidth="1"/>
    <col min="8" max="20" width="10.77734375" style="0" customWidth="1"/>
    <col min="21" max="16384" width="8.88671875" style="0" customWidth="1"/>
  </cols>
  <sheetData>
    <row r="1" spans="1:7" ht="15">
      <c r="A1" s="55"/>
      <c r="B1" s="2"/>
      <c r="C1" s="2"/>
      <c r="D1" s="2"/>
      <c r="E1" s="2"/>
      <c r="F1" s="2"/>
      <c r="G1" s="2"/>
    </row>
    <row r="2" spans="1:7" ht="15" thickBot="1">
      <c r="A2" s="2"/>
      <c r="B2" s="2"/>
      <c r="C2" s="2"/>
      <c r="D2" s="2"/>
      <c r="E2" s="2"/>
      <c r="F2" s="2"/>
      <c r="G2" s="2"/>
    </row>
    <row r="3" spans="1:7" ht="18" customHeight="1" thickTop="1">
      <c r="A3" s="370" t="s">
        <v>403</v>
      </c>
      <c r="B3" s="371"/>
      <c r="C3" s="371"/>
      <c r="D3" s="371"/>
      <c r="E3" s="371"/>
      <c r="F3" s="371"/>
      <c r="G3" s="377"/>
    </row>
    <row r="4" spans="1:7" ht="18" customHeight="1">
      <c r="A4" s="127"/>
      <c r="B4" s="314"/>
      <c r="C4" s="314"/>
      <c r="D4" s="314"/>
      <c r="E4" s="314"/>
      <c r="F4" s="314"/>
      <c r="G4" s="349"/>
    </row>
    <row r="5" spans="1:7" ht="18" customHeight="1">
      <c r="A5" s="389"/>
      <c r="B5" s="396" t="s">
        <v>414</v>
      </c>
      <c r="C5" s="397"/>
      <c r="D5" s="397"/>
      <c r="E5" s="398"/>
      <c r="F5" s="398"/>
      <c r="G5" s="399"/>
    </row>
    <row r="6" spans="1:7" ht="18" customHeight="1">
      <c r="A6" s="390"/>
      <c r="B6" s="400"/>
      <c r="C6" s="401"/>
      <c r="D6" s="401"/>
      <c r="E6" s="401"/>
      <c r="F6" s="401"/>
      <c r="G6" s="402"/>
    </row>
    <row r="7" spans="1:7" ht="18" customHeight="1">
      <c r="A7" s="391"/>
      <c r="B7" s="113" t="s">
        <v>118</v>
      </c>
      <c r="C7" s="113" t="s">
        <v>404</v>
      </c>
      <c r="D7" s="118" t="s">
        <v>405</v>
      </c>
      <c r="E7" s="118" t="s">
        <v>406</v>
      </c>
      <c r="F7" s="118" t="s">
        <v>407</v>
      </c>
      <c r="G7" s="304" t="s">
        <v>408</v>
      </c>
    </row>
    <row r="8" spans="1:7" ht="18" customHeight="1">
      <c r="A8" s="132">
        <v>1872</v>
      </c>
      <c r="B8" s="121">
        <f>B19/B19</f>
        <v>1</v>
      </c>
      <c r="C8" s="111">
        <f aca="true" t="shared" si="0" ref="C8:G12">C19/$B19</f>
        <v>0.6126292466765141</v>
      </c>
      <c r="D8" s="112">
        <f t="shared" si="0"/>
        <v>0.03212703101920236</v>
      </c>
      <c r="E8" s="112">
        <f t="shared" si="0"/>
        <v>0.03249630723781388</v>
      </c>
      <c r="F8" s="112">
        <f t="shared" si="0"/>
        <v>0.02031019202363368</v>
      </c>
      <c r="G8" s="258">
        <f t="shared" si="0"/>
        <v>0.30243722304283605</v>
      </c>
    </row>
    <row r="9" spans="1:7" ht="18" customHeight="1">
      <c r="A9" s="132">
        <v>1882</v>
      </c>
      <c r="B9" s="26">
        <f aca="true" t="shared" si="1" ref="B9:B14">B20/B20</f>
        <v>1</v>
      </c>
      <c r="C9" s="21">
        <f t="shared" si="0"/>
        <v>0.5912483984179154</v>
      </c>
      <c r="D9" s="22">
        <f t="shared" si="0"/>
        <v>0.03459417302657234</v>
      </c>
      <c r="E9" s="22">
        <f t="shared" si="0"/>
        <v>0.03183666648097599</v>
      </c>
      <c r="F9" s="22">
        <f t="shared" si="0"/>
        <v>0.036209681911871204</v>
      </c>
      <c r="G9" s="183">
        <f t="shared" si="0"/>
        <v>0.30611108016266503</v>
      </c>
    </row>
    <row r="10" spans="1:7" ht="18" customHeight="1">
      <c r="A10" s="132">
        <v>1912</v>
      </c>
      <c r="B10" s="26">
        <f t="shared" si="1"/>
        <v>1</v>
      </c>
      <c r="C10" s="21">
        <f t="shared" si="0"/>
        <v>0.5975181456333412</v>
      </c>
      <c r="D10" s="22">
        <f t="shared" si="0"/>
        <v>0.036291266682275815</v>
      </c>
      <c r="E10" s="22">
        <f t="shared" si="0"/>
        <v>0.03839850152189183</v>
      </c>
      <c r="F10" s="22">
        <f t="shared" si="0"/>
        <v>0.039803324748302504</v>
      </c>
      <c r="G10" s="183">
        <f t="shared" si="0"/>
        <v>0.2879887614141887</v>
      </c>
    </row>
    <row r="11" spans="1:7" ht="18" customHeight="1">
      <c r="A11" s="132">
        <v>1922</v>
      </c>
      <c r="B11" s="26">
        <f t="shared" si="1"/>
        <v>1</v>
      </c>
      <c r="C11" s="21">
        <f t="shared" si="0"/>
        <v>0.6222171740118128</v>
      </c>
      <c r="D11" s="22">
        <f t="shared" si="0"/>
        <v>0.04861426624261699</v>
      </c>
      <c r="E11" s="22">
        <f t="shared" si="0"/>
        <v>0.03225806451612903</v>
      </c>
      <c r="F11" s="22">
        <f t="shared" si="0"/>
        <v>0.03134938664243526</v>
      </c>
      <c r="G11" s="183">
        <f t="shared" si="0"/>
        <v>0.26556110858700593</v>
      </c>
    </row>
    <row r="12" spans="1:7" ht="18" customHeight="1">
      <c r="A12" s="132">
        <v>1927</v>
      </c>
      <c r="B12" s="26">
        <f t="shared" si="1"/>
        <v>1</v>
      </c>
      <c r="C12" s="21">
        <f t="shared" si="0"/>
        <v>0.6935669817846437</v>
      </c>
      <c r="D12" s="22">
        <f t="shared" si="0"/>
        <v>0.035047267696564445</v>
      </c>
      <c r="E12" s="22">
        <f t="shared" si="0"/>
        <v>0.034816693566981784</v>
      </c>
      <c r="F12" s="22">
        <f t="shared" si="0"/>
        <v>0.02743832142033664</v>
      </c>
      <c r="G12" s="183">
        <f t="shared" si="0"/>
        <v>0.20913073553147338</v>
      </c>
    </row>
    <row r="13" spans="1:7" ht="18" customHeight="1">
      <c r="A13" s="132">
        <v>1932</v>
      </c>
      <c r="B13" s="26">
        <f t="shared" si="1"/>
        <v>1</v>
      </c>
      <c r="C13" s="21">
        <f aca="true" t="shared" si="2" ref="C13:G14">C24/$B24</f>
        <v>0.6782835983445873</v>
      </c>
      <c r="D13" s="22">
        <f t="shared" si="2"/>
        <v>0.05184055761272054</v>
      </c>
      <c r="E13" s="22">
        <f t="shared" si="2"/>
        <v>0.020257024613373992</v>
      </c>
      <c r="F13" s="22">
        <f t="shared" si="2"/>
        <v>0.029840993247658463</v>
      </c>
      <c r="G13" s="183">
        <f t="shared" si="2"/>
        <v>0.21977782618165978</v>
      </c>
    </row>
    <row r="14" spans="1:7" ht="18" customHeight="1">
      <c r="A14" s="132">
        <v>1937</v>
      </c>
      <c r="B14" s="94">
        <f t="shared" si="1"/>
        <v>1</v>
      </c>
      <c r="C14" s="51">
        <f t="shared" si="2"/>
        <v>0.6954305135951662</v>
      </c>
      <c r="D14" s="52">
        <f t="shared" si="2"/>
        <v>0.05079305135951662</v>
      </c>
      <c r="E14" s="52">
        <f t="shared" si="2"/>
        <v>0.03191087613293051</v>
      </c>
      <c r="F14" s="52">
        <f t="shared" si="2"/>
        <v>0.02001510574018127</v>
      </c>
      <c r="G14" s="205">
        <f t="shared" si="2"/>
        <v>0.20185045317220543</v>
      </c>
    </row>
    <row r="15" spans="1:7" ht="18" customHeight="1">
      <c r="A15" s="382"/>
      <c r="B15" s="396" t="s">
        <v>609</v>
      </c>
      <c r="C15" s="397"/>
      <c r="D15" s="397"/>
      <c r="E15" s="397"/>
      <c r="F15" s="397"/>
      <c r="G15" s="493"/>
    </row>
    <row r="16" spans="1:7" ht="18" customHeight="1">
      <c r="A16" s="383"/>
      <c r="B16" s="492"/>
      <c r="C16" s="323"/>
      <c r="D16" s="323"/>
      <c r="E16" s="323"/>
      <c r="F16" s="323"/>
      <c r="G16" s="324"/>
    </row>
    <row r="17" spans="1:7" ht="18" customHeight="1">
      <c r="A17" s="384"/>
      <c r="B17" s="113" t="s">
        <v>118</v>
      </c>
      <c r="C17" s="113" t="s">
        <v>404</v>
      </c>
      <c r="D17" s="118" t="s">
        <v>405</v>
      </c>
      <c r="E17" s="118" t="s">
        <v>406</v>
      </c>
      <c r="F17" s="118" t="s">
        <v>407</v>
      </c>
      <c r="G17" s="304" t="s">
        <v>408</v>
      </c>
    </row>
    <row r="18" spans="1:7" ht="1.5" customHeight="1">
      <c r="A18" s="203"/>
      <c r="B18" s="109"/>
      <c r="C18" s="119" t="s">
        <v>409</v>
      </c>
      <c r="D18" s="120" t="s">
        <v>410</v>
      </c>
      <c r="E18" s="120" t="s">
        <v>411</v>
      </c>
      <c r="F18" s="120" t="s">
        <v>412</v>
      </c>
      <c r="G18" s="305" t="s">
        <v>413</v>
      </c>
    </row>
    <row r="19" spans="1:7" ht="18" customHeight="1">
      <c r="A19" s="132">
        <v>1872</v>
      </c>
      <c r="B19" s="29">
        <f>SUM(C19:G19)</f>
        <v>2708</v>
      </c>
      <c r="C19" s="29">
        <v>1659</v>
      </c>
      <c r="D19" s="30">
        <v>87</v>
      </c>
      <c r="E19" s="30">
        <v>88</v>
      </c>
      <c r="F19" s="30">
        <v>55</v>
      </c>
      <c r="G19" s="161">
        <v>819</v>
      </c>
    </row>
    <row r="20" spans="1:7" ht="18" customHeight="1">
      <c r="A20" s="132">
        <v>1882</v>
      </c>
      <c r="B20" s="29">
        <f aca="true" t="shared" si="3" ref="B20:B25">SUM(C20:G20)</f>
        <v>3590.2</v>
      </c>
      <c r="C20" s="29">
        <v>2122.7</v>
      </c>
      <c r="D20" s="30">
        <v>124.2</v>
      </c>
      <c r="E20" s="30">
        <v>114.3</v>
      </c>
      <c r="F20" s="30">
        <v>130</v>
      </c>
      <c r="G20" s="161">
        <v>1099</v>
      </c>
    </row>
    <row r="21" spans="1:7" ht="18" customHeight="1">
      <c r="A21" s="132">
        <v>1912</v>
      </c>
      <c r="B21" s="29">
        <f t="shared" si="3"/>
        <v>4271</v>
      </c>
      <c r="C21" s="29">
        <v>2552</v>
      </c>
      <c r="D21" s="30">
        <v>155</v>
      </c>
      <c r="E21" s="30">
        <v>164</v>
      </c>
      <c r="F21" s="30">
        <v>170</v>
      </c>
      <c r="G21" s="161">
        <v>1230</v>
      </c>
    </row>
    <row r="22" spans="1:7" ht="18" customHeight="1">
      <c r="A22" s="132">
        <v>1922</v>
      </c>
      <c r="B22" s="29">
        <f t="shared" si="3"/>
        <v>4402</v>
      </c>
      <c r="C22" s="29">
        <v>2739</v>
      </c>
      <c r="D22" s="30">
        <v>214</v>
      </c>
      <c r="E22" s="30">
        <v>142</v>
      </c>
      <c r="F22" s="30">
        <v>138</v>
      </c>
      <c r="G22" s="161">
        <v>1169</v>
      </c>
    </row>
    <row r="23" spans="1:7" ht="18" customHeight="1">
      <c r="A23" s="132">
        <v>1927</v>
      </c>
      <c r="B23" s="29">
        <f t="shared" si="3"/>
        <v>4337</v>
      </c>
      <c r="C23" s="29">
        <v>3008</v>
      </c>
      <c r="D23" s="30">
        <v>152</v>
      </c>
      <c r="E23" s="30">
        <v>151</v>
      </c>
      <c r="F23" s="30">
        <v>119</v>
      </c>
      <c r="G23" s="161">
        <v>907</v>
      </c>
    </row>
    <row r="24" spans="1:7" ht="18" customHeight="1">
      <c r="A24" s="132">
        <v>1932</v>
      </c>
      <c r="B24" s="29">
        <f t="shared" si="3"/>
        <v>4591</v>
      </c>
      <c r="C24" s="29">
        <v>3114</v>
      </c>
      <c r="D24" s="30">
        <v>238</v>
      </c>
      <c r="E24" s="30">
        <v>93</v>
      </c>
      <c r="F24" s="30">
        <v>137</v>
      </c>
      <c r="G24" s="161">
        <v>1009</v>
      </c>
    </row>
    <row r="25" spans="1:7" ht="18" customHeight="1">
      <c r="A25" s="132">
        <v>1937</v>
      </c>
      <c r="B25" s="29">
        <f t="shared" si="3"/>
        <v>5296</v>
      </c>
      <c r="C25" s="29">
        <v>3683</v>
      </c>
      <c r="D25" s="30">
        <v>269</v>
      </c>
      <c r="E25" s="30">
        <v>169</v>
      </c>
      <c r="F25" s="30">
        <v>106</v>
      </c>
      <c r="G25" s="161">
        <v>1069</v>
      </c>
    </row>
    <row r="26" spans="1:7" ht="4.5" customHeight="1">
      <c r="A26" s="132"/>
      <c r="B26" s="29"/>
      <c r="C26" s="30"/>
      <c r="D26" s="30"/>
      <c r="E26" s="30"/>
      <c r="F26" s="30"/>
      <c r="G26" s="161"/>
    </row>
    <row r="27" spans="1:7" ht="18" customHeight="1">
      <c r="A27" s="389"/>
      <c r="B27" s="396" t="s">
        <v>415</v>
      </c>
      <c r="C27" s="397"/>
      <c r="D27" s="397"/>
      <c r="E27" s="398"/>
      <c r="F27" s="398"/>
      <c r="G27" s="399"/>
    </row>
    <row r="28" spans="1:7" ht="18" customHeight="1">
      <c r="A28" s="390"/>
      <c r="B28" s="400"/>
      <c r="C28" s="401"/>
      <c r="D28" s="401"/>
      <c r="E28" s="401"/>
      <c r="F28" s="401"/>
      <c r="G28" s="402"/>
    </row>
    <row r="29" spans="1:7" ht="18" customHeight="1">
      <c r="A29" s="391"/>
      <c r="B29" s="113" t="s">
        <v>118</v>
      </c>
      <c r="C29" s="113" t="s">
        <v>404</v>
      </c>
      <c r="D29" s="118" t="s">
        <v>405</v>
      </c>
      <c r="E29" s="118" t="s">
        <v>406</v>
      </c>
      <c r="F29" s="118" t="s">
        <v>407</v>
      </c>
      <c r="G29" s="304" t="s">
        <v>408</v>
      </c>
    </row>
    <row r="30" spans="1:7" ht="18" customHeight="1">
      <c r="A30" s="132">
        <v>1872</v>
      </c>
      <c r="B30" s="121">
        <f>B41/B41</f>
        <v>1</v>
      </c>
      <c r="C30" s="111">
        <f aca="true" t="shared" si="4" ref="C30:G36">C41/$B41</f>
        <v>0.7349137931034483</v>
      </c>
      <c r="D30" s="112">
        <f t="shared" si="4"/>
        <v>0.023706896551724137</v>
      </c>
      <c r="E30" s="112">
        <f t="shared" si="4"/>
        <v>0.021551724137931036</v>
      </c>
      <c r="F30" s="112">
        <f t="shared" si="4"/>
        <v>0.017241379310344827</v>
      </c>
      <c r="G30" s="258">
        <f t="shared" si="4"/>
        <v>0.2025862068965517</v>
      </c>
    </row>
    <row r="31" spans="1:7" ht="18" customHeight="1">
      <c r="A31" s="132">
        <v>1882</v>
      </c>
      <c r="B31" s="26">
        <f aca="true" t="shared" si="5" ref="B31:B36">B42/B42</f>
        <v>1</v>
      </c>
      <c r="C31" s="21">
        <f t="shared" si="4"/>
        <v>0.7207124814911593</v>
      </c>
      <c r="D31" s="22">
        <f t="shared" si="4"/>
        <v>0.017376535145022208</v>
      </c>
      <c r="E31" s="22">
        <f t="shared" si="4"/>
        <v>0.017420085358418255</v>
      </c>
      <c r="F31" s="22">
        <f t="shared" si="4"/>
        <v>0.02321226374009232</v>
      </c>
      <c r="G31" s="183">
        <f t="shared" si="4"/>
        <v>0.2212786342653079</v>
      </c>
    </row>
    <row r="32" spans="1:7" ht="18" customHeight="1">
      <c r="A32" s="132">
        <v>1912</v>
      </c>
      <c r="B32" s="26">
        <f t="shared" si="5"/>
        <v>1</v>
      </c>
      <c r="C32" s="21">
        <f t="shared" si="4"/>
        <v>0.7198859586600143</v>
      </c>
      <c r="D32" s="22">
        <f t="shared" si="4"/>
        <v>0.047042052744119746</v>
      </c>
      <c r="E32" s="22">
        <f t="shared" si="4"/>
        <v>0.027797576621525304</v>
      </c>
      <c r="F32" s="22">
        <f t="shared" si="4"/>
        <v>0.03421240199572345</v>
      </c>
      <c r="G32" s="183">
        <f t="shared" si="4"/>
        <v>0.17106200997861726</v>
      </c>
    </row>
    <row r="33" spans="1:7" ht="18" customHeight="1">
      <c r="A33" s="132">
        <v>1922</v>
      </c>
      <c r="B33" s="26">
        <f t="shared" si="5"/>
        <v>1</v>
      </c>
      <c r="C33" s="21">
        <f t="shared" si="4"/>
        <v>0.7101449275362319</v>
      </c>
      <c r="D33" s="22">
        <f t="shared" si="4"/>
        <v>0.039525691699604744</v>
      </c>
      <c r="E33" s="22">
        <f t="shared" si="4"/>
        <v>0.023715415019762844</v>
      </c>
      <c r="F33" s="22">
        <f t="shared" si="4"/>
        <v>0.01844532279314888</v>
      </c>
      <c r="G33" s="183">
        <f t="shared" si="4"/>
        <v>0.20816864295125165</v>
      </c>
    </row>
    <row r="34" spans="1:7" ht="18" customHeight="1">
      <c r="A34" s="132">
        <v>1927</v>
      </c>
      <c r="B34" s="26">
        <f t="shared" si="5"/>
        <v>1</v>
      </c>
      <c r="C34" s="21">
        <f t="shared" si="4"/>
        <v>0.7870967741935484</v>
      </c>
      <c r="D34" s="22">
        <f t="shared" si="4"/>
        <v>0.02193548387096774</v>
      </c>
      <c r="E34" s="22">
        <f t="shared" si="4"/>
        <v>0.02838709677419355</v>
      </c>
      <c r="F34" s="22">
        <f t="shared" si="4"/>
        <v>0.024516129032258065</v>
      </c>
      <c r="G34" s="183">
        <f t="shared" si="4"/>
        <v>0.13806451612903226</v>
      </c>
    </row>
    <row r="35" spans="1:7" ht="18" customHeight="1">
      <c r="A35" s="132">
        <v>1932</v>
      </c>
      <c r="B35" s="26">
        <f t="shared" si="5"/>
        <v>1</v>
      </c>
      <c r="C35" s="21">
        <f t="shared" si="4"/>
        <v>0.7380675203725262</v>
      </c>
      <c r="D35" s="22">
        <f t="shared" si="4"/>
        <v>0.048894062863795114</v>
      </c>
      <c r="E35" s="22">
        <f t="shared" si="4"/>
        <v>0.012805587892898719</v>
      </c>
      <c r="F35" s="22">
        <f t="shared" si="4"/>
        <v>0.030267753201396973</v>
      </c>
      <c r="G35" s="183">
        <f t="shared" si="4"/>
        <v>0.16996507566938301</v>
      </c>
    </row>
    <row r="36" spans="1:7" ht="18" customHeight="1">
      <c r="A36" s="132">
        <v>1937</v>
      </c>
      <c r="B36" s="94">
        <f t="shared" si="5"/>
        <v>1</v>
      </c>
      <c r="C36" s="51">
        <f t="shared" si="4"/>
        <v>0.7734753146176185</v>
      </c>
      <c r="D36" s="52">
        <f t="shared" si="4"/>
        <v>0.046466602129719266</v>
      </c>
      <c r="E36" s="52">
        <f t="shared" si="4"/>
        <v>0.027105517909002903</v>
      </c>
      <c r="F36" s="52">
        <f t="shared" si="4"/>
        <v>0.016456921587608905</v>
      </c>
      <c r="G36" s="205">
        <f t="shared" si="4"/>
        <v>0.13649564375605033</v>
      </c>
    </row>
    <row r="37" spans="1:7" ht="18" customHeight="1">
      <c r="A37" s="389"/>
      <c r="B37" s="396" t="s">
        <v>416</v>
      </c>
      <c r="C37" s="397"/>
      <c r="D37" s="397"/>
      <c r="E37" s="397"/>
      <c r="F37" s="397"/>
      <c r="G37" s="493"/>
    </row>
    <row r="38" spans="1:7" ht="18" customHeight="1">
      <c r="A38" s="390"/>
      <c r="B38" s="492"/>
      <c r="C38" s="323"/>
      <c r="D38" s="323"/>
      <c r="E38" s="323"/>
      <c r="F38" s="323"/>
      <c r="G38" s="324"/>
    </row>
    <row r="39" spans="1:7" ht="18" customHeight="1">
      <c r="A39" s="391"/>
      <c r="B39" s="113" t="s">
        <v>118</v>
      </c>
      <c r="C39" s="113" t="s">
        <v>404</v>
      </c>
      <c r="D39" s="118" t="s">
        <v>405</v>
      </c>
      <c r="E39" s="118" t="s">
        <v>406</v>
      </c>
      <c r="F39" s="118" t="s">
        <v>407</v>
      </c>
      <c r="G39" s="304" t="s">
        <v>408</v>
      </c>
    </row>
    <row r="40" spans="1:7" ht="1.5" customHeight="1">
      <c r="A40" s="130"/>
      <c r="B40" s="109"/>
      <c r="C40" s="119" t="s">
        <v>409</v>
      </c>
      <c r="D40" s="120" t="s">
        <v>410</v>
      </c>
      <c r="E40" s="120" t="s">
        <v>411</v>
      </c>
      <c r="F40" s="120" t="s">
        <v>412</v>
      </c>
      <c r="G40" s="305" t="s">
        <v>413</v>
      </c>
    </row>
    <row r="41" spans="1:7" ht="18" customHeight="1">
      <c r="A41" s="132">
        <v>1872</v>
      </c>
      <c r="B41" s="29">
        <f>SUM(C41:G41)</f>
        <v>1856</v>
      </c>
      <c r="C41" s="29">
        <v>1364</v>
      </c>
      <c r="D41" s="30">
        <v>44</v>
      </c>
      <c r="E41" s="30">
        <v>40</v>
      </c>
      <c r="F41" s="30">
        <v>32</v>
      </c>
      <c r="G41" s="161">
        <v>376</v>
      </c>
    </row>
    <row r="42" spans="1:7" ht="18" customHeight="1">
      <c r="A42" s="132">
        <v>1882</v>
      </c>
      <c r="B42" s="29">
        <f aca="true" t="shared" si="6" ref="B42:B47">SUM(C42:G42)</f>
        <v>2296.2000000000003</v>
      </c>
      <c r="C42" s="29">
        <v>1654.9</v>
      </c>
      <c r="D42" s="30">
        <v>39.9</v>
      </c>
      <c r="E42" s="30">
        <v>40</v>
      </c>
      <c r="F42" s="30">
        <v>53.3</v>
      </c>
      <c r="G42" s="161">
        <v>508.1</v>
      </c>
    </row>
    <row r="43" spans="1:7" ht="18" customHeight="1">
      <c r="A43" s="132">
        <v>1912</v>
      </c>
      <c r="B43" s="29">
        <f t="shared" si="6"/>
        <v>2806</v>
      </c>
      <c r="C43" s="29">
        <v>2020</v>
      </c>
      <c r="D43" s="30">
        <v>132</v>
      </c>
      <c r="E43" s="30">
        <v>78</v>
      </c>
      <c r="F43" s="30">
        <v>96</v>
      </c>
      <c r="G43" s="161">
        <v>480</v>
      </c>
    </row>
    <row r="44" spans="1:7" ht="18" customHeight="1">
      <c r="A44" s="132">
        <v>1922</v>
      </c>
      <c r="B44" s="29">
        <f t="shared" si="6"/>
        <v>3036</v>
      </c>
      <c r="C44" s="29">
        <v>2156</v>
      </c>
      <c r="D44" s="30">
        <v>120</v>
      </c>
      <c r="E44" s="30">
        <v>72</v>
      </c>
      <c r="F44" s="30">
        <v>56</v>
      </c>
      <c r="G44" s="161">
        <v>632</v>
      </c>
    </row>
    <row r="45" spans="1:7" ht="18" customHeight="1">
      <c r="A45" s="132">
        <v>1927</v>
      </c>
      <c r="B45" s="29">
        <f t="shared" si="6"/>
        <v>3100</v>
      </c>
      <c r="C45" s="29">
        <v>2440</v>
      </c>
      <c r="D45" s="30">
        <v>68</v>
      </c>
      <c r="E45" s="30">
        <v>88</v>
      </c>
      <c r="F45" s="30">
        <v>76</v>
      </c>
      <c r="G45" s="161">
        <v>428</v>
      </c>
    </row>
    <row r="46" spans="1:7" ht="18" customHeight="1">
      <c r="A46" s="132">
        <v>1932</v>
      </c>
      <c r="B46" s="29">
        <f t="shared" si="6"/>
        <v>3436</v>
      </c>
      <c r="C46" s="29">
        <v>2536</v>
      </c>
      <c r="D46" s="30">
        <v>168</v>
      </c>
      <c r="E46" s="30">
        <v>44</v>
      </c>
      <c r="F46" s="30">
        <v>104</v>
      </c>
      <c r="G46" s="161">
        <v>584</v>
      </c>
    </row>
    <row r="47" spans="1:7" ht="18" customHeight="1">
      <c r="A47" s="132">
        <v>1937</v>
      </c>
      <c r="B47" s="29">
        <f t="shared" si="6"/>
        <v>4132</v>
      </c>
      <c r="C47" s="29">
        <v>3196</v>
      </c>
      <c r="D47" s="30">
        <v>192</v>
      </c>
      <c r="E47" s="30">
        <v>112</v>
      </c>
      <c r="F47" s="30">
        <v>68</v>
      </c>
      <c r="G47" s="161">
        <v>564</v>
      </c>
    </row>
    <row r="48" spans="1:7" ht="4.5" customHeight="1">
      <c r="A48" s="184"/>
      <c r="B48" s="24"/>
      <c r="C48" s="7"/>
      <c r="D48" s="7"/>
      <c r="E48" s="7"/>
      <c r="F48" s="7"/>
      <c r="G48" s="185"/>
    </row>
    <row r="49" spans="1:7" ht="18" customHeight="1">
      <c r="A49" s="389"/>
      <c r="B49" s="396" t="s">
        <v>417</v>
      </c>
      <c r="C49" s="397"/>
      <c r="D49" s="397"/>
      <c r="E49" s="398"/>
      <c r="F49" s="398"/>
      <c r="G49" s="399"/>
    </row>
    <row r="50" spans="1:7" ht="18" customHeight="1">
      <c r="A50" s="390"/>
      <c r="B50" s="400"/>
      <c r="C50" s="401"/>
      <c r="D50" s="401"/>
      <c r="E50" s="401"/>
      <c r="F50" s="401"/>
      <c r="G50" s="402"/>
    </row>
    <row r="51" spans="1:7" ht="18" customHeight="1">
      <c r="A51" s="391"/>
      <c r="B51" s="113" t="s">
        <v>118</v>
      </c>
      <c r="C51" s="113" t="s">
        <v>404</v>
      </c>
      <c r="D51" s="118" t="s">
        <v>405</v>
      </c>
      <c r="E51" s="118" t="s">
        <v>406</v>
      </c>
      <c r="F51" s="118" t="s">
        <v>407</v>
      </c>
      <c r="G51" s="304" t="s">
        <v>408</v>
      </c>
    </row>
    <row r="52" spans="1:7" ht="18" customHeight="1">
      <c r="A52" s="132">
        <v>1872</v>
      </c>
      <c r="B52" s="121">
        <f>B63/B63</f>
        <v>1</v>
      </c>
      <c r="C52" s="111">
        <f aca="true" t="shared" si="7" ref="C52:G58">C63/$B63</f>
        <v>0.35586734693877553</v>
      </c>
      <c r="D52" s="112">
        <f t="shared" si="7"/>
        <v>0.047193877551020405</v>
      </c>
      <c r="E52" s="112">
        <f t="shared" si="7"/>
        <v>0.05739795918367347</v>
      </c>
      <c r="F52" s="112">
        <f t="shared" si="7"/>
        <v>0.02806122448979592</v>
      </c>
      <c r="G52" s="258">
        <f t="shared" si="7"/>
        <v>0.5114795918367347</v>
      </c>
    </row>
    <row r="53" spans="1:7" ht="18" customHeight="1">
      <c r="A53" s="132">
        <v>1882</v>
      </c>
      <c r="B53" s="26">
        <f aca="true" t="shared" si="8" ref="B53:B58">B64/B64</f>
        <v>1</v>
      </c>
      <c r="C53" s="21">
        <f t="shared" si="7"/>
        <v>0.38018471872376153</v>
      </c>
      <c r="D53" s="22">
        <f t="shared" si="7"/>
        <v>0.06070528967254408</v>
      </c>
      <c r="E53" s="22">
        <f t="shared" si="7"/>
        <v>0.0565071368597817</v>
      </c>
      <c r="F53" s="22">
        <f t="shared" si="7"/>
        <v>0.05936188077246012</v>
      </c>
      <c r="G53" s="183">
        <f t="shared" si="7"/>
        <v>0.44324097397145257</v>
      </c>
    </row>
    <row r="54" spans="1:7" ht="18" customHeight="1">
      <c r="A54" s="132">
        <v>1912</v>
      </c>
      <c r="B54" s="26">
        <f t="shared" si="8"/>
        <v>1</v>
      </c>
      <c r="C54" s="21">
        <f t="shared" si="7"/>
        <v>0.4850444624090542</v>
      </c>
      <c r="D54" s="22">
        <f t="shared" si="7"/>
        <v>0.09135004042037187</v>
      </c>
      <c r="E54" s="22">
        <f t="shared" si="7"/>
        <v>0.05982215036378335</v>
      </c>
      <c r="F54" s="22">
        <f t="shared" si="7"/>
        <v>0.05254648342764753</v>
      </c>
      <c r="G54" s="183">
        <f t="shared" si="7"/>
        <v>0.3112368633791431</v>
      </c>
    </row>
    <row r="55" spans="1:7" ht="18" customHeight="1">
      <c r="A55" s="132">
        <v>1922</v>
      </c>
      <c r="B55" s="26">
        <f t="shared" si="8"/>
        <v>1</v>
      </c>
      <c r="C55" s="21">
        <f t="shared" si="7"/>
        <v>0.4404104183109708</v>
      </c>
      <c r="D55" s="22">
        <f t="shared" si="7"/>
        <v>0.07103393843725335</v>
      </c>
      <c r="E55" s="22">
        <f t="shared" si="7"/>
        <v>0.0489344909234412</v>
      </c>
      <c r="F55" s="22">
        <f t="shared" si="7"/>
        <v>0.05761641673243883</v>
      </c>
      <c r="G55" s="183">
        <f t="shared" si="7"/>
        <v>0.3820047355958958</v>
      </c>
    </row>
    <row r="56" spans="1:7" ht="18" customHeight="1">
      <c r="A56" s="132">
        <v>1927</v>
      </c>
      <c r="B56" s="26">
        <f t="shared" si="8"/>
        <v>1</v>
      </c>
      <c r="C56" s="21">
        <f t="shared" si="7"/>
        <v>0.4768153980752406</v>
      </c>
      <c r="D56" s="22">
        <f t="shared" si="7"/>
        <v>0.06649168853893263</v>
      </c>
      <c r="E56" s="22">
        <f t="shared" si="7"/>
        <v>0.049868766404199474</v>
      </c>
      <c r="F56" s="22">
        <f t="shared" si="7"/>
        <v>0.03587051618547681</v>
      </c>
      <c r="G56" s="183">
        <f t="shared" si="7"/>
        <v>0.37095363079615046</v>
      </c>
    </row>
    <row r="57" spans="1:7" ht="18" customHeight="1">
      <c r="A57" s="132">
        <v>1932</v>
      </c>
      <c r="B57" s="26">
        <f t="shared" si="8"/>
        <v>1</v>
      </c>
      <c r="C57" s="21">
        <f t="shared" si="7"/>
        <v>0.5228571428571429</v>
      </c>
      <c r="D57" s="22">
        <f t="shared" si="7"/>
        <v>0.06095238095238095</v>
      </c>
      <c r="E57" s="22">
        <f t="shared" si="7"/>
        <v>0.04285714285714286</v>
      </c>
      <c r="F57" s="22">
        <f t="shared" si="7"/>
        <v>0.03142857142857143</v>
      </c>
      <c r="G57" s="183">
        <f t="shared" si="7"/>
        <v>0.3419047619047619</v>
      </c>
    </row>
    <row r="58" spans="1:7" ht="18" customHeight="1">
      <c r="A58" s="132">
        <v>1937</v>
      </c>
      <c r="B58" s="94">
        <f t="shared" si="8"/>
        <v>1</v>
      </c>
      <c r="C58" s="51">
        <f t="shared" si="7"/>
        <v>0.4278937381404175</v>
      </c>
      <c r="D58" s="52">
        <f t="shared" si="7"/>
        <v>0.06925996204933586</v>
      </c>
      <c r="E58" s="52">
        <f t="shared" si="7"/>
        <v>0.04079696394686907</v>
      </c>
      <c r="F58" s="52">
        <f t="shared" si="7"/>
        <v>0.03225806451612903</v>
      </c>
      <c r="G58" s="205">
        <f t="shared" si="7"/>
        <v>0.4297912713472486</v>
      </c>
    </row>
    <row r="59" spans="1:7" ht="18" customHeight="1">
      <c r="A59" s="389"/>
      <c r="B59" s="396" t="s">
        <v>418</v>
      </c>
      <c r="C59" s="397"/>
      <c r="D59" s="397"/>
      <c r="E59" s="397"/>
      <c r="F59" s="397"/>
      <c r="G59" s="493"/>
    </row>
    <row r="60" spans="1:7" ht="18" customHeight="1">
      <c r="A60" s="390"/>
      <c r="B60" s="492"/>
      <c r="C60" s="323"/>
      <c r="D60" s="323"/>
      <c r="E60" s="323"/>
      <c r="F60" s="323"/>
      <c r="G60" s="324"/>
    </row>
    <row r="61" spans="1:7" ht="18" customHeight="1">
      <c r="A61" s="391"/>
      <c r="B61" s="113" t="s">
        <v>118</v>
      </c>
      <c r="C61" s="113" t="s">
        <v>404</v>
      </c>
      <c r="D61" s="118" t="s">
        <v>405</v>
      </c>
      <c r="E61" s="118" t="s">
        <v>406</v>
      </c>
      <c r="F61" s="118" t="s">
        <v>407</v>
      </c>
      <c r="G61" s="304" t="s">
        <v>408</v>
      </c>
    </row>
    <row r="62" spans="1:7" ht="1.5" customHeight="1">
      <c r="A62" s="130"/>
      <c r="B62" s="109"/>
      <c r="C62" s="119" t="s">
        <v>409</v>
      </c>
      <c r="D62" s="120" t="s">
        <v>410</v>
      </c>
      <c r="E62" s="120" t="s">
        <v>411</v>
      </c>
      <c r="F62" s="120" t="s">
        <v>412</v>
      </c>
      <c r="G62" s="305" t="s">
        <v>413</v>
      </c>
    </row>
    <row r="63" spans="1:7" ht="18" customHeight="1">
      <c r="A63" s="132">
        <v>1872</v>
      </c>
      <c r="B63" s="29">
        <f>SUM(C63:G63)</f>
        <v>784</v>
      </c>
      <c r="C63" s="29">
        <v>279</v>
      </c>
      <c r="D63" s="30">
        <v>37</v>
      </c>
      <c r="E63" s="30">
        <v>45</v>
      </c>
      <c r="F63" s="30">
        <v>22</v>
      </c>
      <c r="G63" s="161">
        <v>401</v>
      </c>
    </row>
    <row r="64" spans="1:7" ht="18" customHeight="1">
      <c r="A64" s="132">
        <v>1882</v>
      </c>
      <c r="B64" s="29">
        <f aca="true" t="shared" si="9" ref="B64:B69">SUM(C64:G64)</f>
        <v>1191</v>
      </c>
      <c r="C64" s="29">
        <v>452.8</v>
      </c>
      <c r="D64" s="30">
        <v>72.3</v>
      </c>
      <c r="E64" s="30">
        <v>67.3</v>
      </c>
      <c r="F64" s="30">
        <v>70.7</v>
      </c>
      <c r="G64" s="161">
        <v>527.9</v>
      </c>
    </row>
    <row r="65" spans="1:7" ht="18" customHeight="1">
      <c r="A65" s="132">
        <v>1912</v>
      </c>
      <c r="B65" s="29">
        <f t="shared" si="9"/>
        <v>1237</v>
      </c>
      <c r="C65" s="29">
        <v>600</v>
      </c>
      <c r="D65" s="30">
        <v>113</v>
      </c>
      <c r="E65" s="30">
        <v>74</v>
      </c>
      <c r="F65" s="30">
        <v>65</v>
      </c>
      <c r="G65" s="161">
        <v>385</v>
      </c>
    </row>
    <row r="66" spans="1:7" ht="18" customHeight="1">
      <c r="A66" s="132">
        <v>1922</v>
      </c>
      <c r="B66" s="29">
        <f t="shared" si="9"/>
        <v>1267</v>
      </c>
      <c r="C66" s="29">
        <v>558</v>
      </c>
      <c r="D66" s="30">
        <v>90</v>
      </c>
      <c r="E66" s="30">
        <v>62</v>
      </c>
      <c r="F66" s="30">
        <v>73</v>
      </c>
      <c r="G66" s="161">
        <v>484</v>
      </c>
    </row>
    <row r="67" spans="1:7" ht="18" customHeight="1">
      <c r="A67" s="132">
        <v>1927</v>
      </c>
      <c r="B67" s="29">
        <f t="shared" si="9"/>
        <v>1143</v>
      </c>
      <c r="C67" s="29">
        <v>545</v>
      </c>
      <c r="D67" s="30">
        <v>76</v>
      </c>
      <c r="E67" s="30">
        <v>57</v>
      </c>
      <c r="F67" s="30">
        <v>41</v>
      </c>
      <c r="G67" s="161">
        <v>424</v>
      </c>
    </row>
    <row r="68" spans="1:7" ht="18" customHeight="1">
      <c r="A68" s="132">
        <v>1932</v>
      </c>
      <c r="B68" s="29">
        <f t="shared" si="9"/>
        <v>1050</v>
      </c>
      <c r="C68" s="29">
        <v>549</v>
      </c>
      <c r="D68" s="30">
        <v>64</v>
      </c>
      <c r="E68" s="30">
        <v>45</v>
      </c>
      <c r="F68" s="30">
        <v>33</v>
      </c>
      <c r="G68" s="161">
        <v>359</v>
      </c>
    </row>
    <row r="69" spans="1:7" ht="18" customHeight="1">
      <c r="A69" s="132">
        <v>1937</v>
      </c>
      <c r="B69" s="29">
        <f t="shared" si="9"/>
        <v>1054</v>
      </c>
      <c r="C69" s="29">
        <v>451</v>
      </c>
      <c r="D69" s="30">
        <v>73</v>
      </c>
      <c r="E69" s="30">
        <v>43</v>
      </c>
      <c r="F69" s="30">
        <v>34</v>
      </c>
      <c r="G69" s="161">
        <v>453</v>
      </c>
    </row>
    <row r="70" spans="1:7" ht="4.5" customHeight="1">
      <c r="A70" s="194"/>
      <c r="B70" s="50"/>
      <c r="C70" s="47"/>
      <c r="D70" s="47"/>
      <c r="E70" s="47"/>
      <c r="F70" s="47"/>
      <c r="G70" s="166"/>
    </row>
    <row r="71" spans="1:7" ht="18" customHeight="1">
      <c r="A71" s="389"/>
      <c r="B71" s="396" t="s">
        <v>419</v>
      </c>
      <c r="C71" s="397"/>
      <c r="D71" s="397"/>
      <c r="E71" s="398"/>
      <c r="F71" s="398"/>
      <c r="G71" s="399"/>
    </row>
    <row r="72" spans="1:7" ht="18" customHeight="1">
      <c r="A72" s="390"/>
      <c r="B72" s="400"/>
      <c r="C72" s="401"/>
      <c r="D72" s="401"/>
      <c r="E72" s="401"/>
      <c r="F72" s="401"/>
      <c r="G72" s="402"/>
    </row>
    <row r="73" spans="1:7" ht="18" customHeight="1">
      <c r="A73" s="391"/>
      <c r="B73" s="113" t="s">
        <v>118</v>
      </c>
      <c r="C73" s="113" t="s">
        <v>404</v>
      </c>
      <c r="D73" s="118" t="s">
        <v>405</v>
      </c>
      <c r="E73" s="118" t="s">
        <v>406</v>
      </c>
      <c r="F73" s="118" t="s">
        <v>407</v>
      </c>
      <c r="G73" s="304" t="s">
        <v>408</v>
      </c>
    </row>
    <row r="74" spans="1:7" ht="18" customHeight="1">
      <c r="A74" s="132">
        <v>1872</v>
      </c>
      <c r="B74" s="121">
        <f>B85/B85</f>
        <v>1</v>
      </c>
      <c r="C74" s="111">
        <f aca="true" t="shared" si="10" ref="C74:G80">C85/$B85</f>
        <v>0.23529411764705882</v>
      </c>
      <c r="D74" s="112">
        <f t="shared" si="10"/>
        <v>0.08823529411764706</v>
      </c>
      <c r="E74" s="112">
        <f t="shared" si="10"/>
        <v>0.04411764705882353</v>
      </c>
      <c r="F74" s="112">
        <f t="shared" si="10"/>
        <v>0.014705882352941176</v>
      </c>
      <c r="G74" s="258">
        <f t="shared" si="10"/>
        <v>0.6176470588235294</v>
      </c>
    </row>
    <row r="75" spans="1:7" ht="18" customHeight="1">
      <c r="A75" s="132">
        <v>1882</v>
      </c>
      <c r="B75" s="26">
        <f aca="true" t="shared" si="11" ref="B75:B80">B86/B86</f>
        <v>1</v>
      </c>
      <c r="C75" s="21">
        <f t="shared" si="10"/>
        <v>0.14563106796116504</v>
      </c>
      <c r="D75" s="22">
        <f t="shared" si="10"/>
        <v>0.11650485436893204</v>
      </c>
      <c r="E75" s="22">
        <f t="shared" si="10"/>
        <v>0.06796116504854369</v>
      </c>
      <c r="F75" s="22">
        <f t="shared" si="10"/>
        <v>0.05825242718446602</v>
      </c>
      <c r="G75" s="183">
        <f t="shared" si="10"/>
        <v>0.6116504854368932</v>
      </c>
    </row>
    <row r="76" spans="1:7" ht="18" customHeight="1">
      <c r="A76" s="132">
        <v>1912</v>
      </c>
      <c r="B76" s="26">
        <f t="shared" si="11"/>
        <v>1</v>
      </c>
      <c r="C76" s="21">
        <f t="shared" si="10"/>
        <v>0.21875</v>
      </c>
      <c r="D76" s="22">
        <f t="shared" si="10"/>
        <v>0.078125</v>
      </c>
      <c r="E76" s="22">
        <f t="shared" si="10"/>
        <v>0.0625</v>
      </c>
      <c r="F76" s="22">
        <f t="shared" si="10"/>
        <v>0.0703125</v>
      </c>
      <c r="G76" s="183">
        <f t="shared" si="10"/>
        <v>0.5703125</v>
      </c>
    </row>
    <row r="77" spans="1:7" ht="18" customHeight="1">
      <c r="A77" s="132">
        <v>1922</v>
      </c>
      <c r="B77" s="26">
        <f t="shared" si="11"/>
        <v>1</v>
      </c>
      <c r="C77" s="21">
        <f t="shared" si="10"/>
        <v>0.25252525252525254</v>
      </c>
      <c r="D77" s="22">
        <f t="shared" si="10"/>
        <v>0.04040404040404041</v>
      </c>
      <c r="E77" s="22">
        <f t="shared" si="10"/>
        <v>0.08080808080808081</v>
      </c>
      <c r="F77" s="22">
        <f t="shared" si="10"/>
        <v>0.09090909090909091</v>
      </c>
      <c r="G77" s="183">
        <f t="shared" si="10"/>
        <v>0.5353535353535354</v>
      </c>
    </row>
    <row r="78" spans="1:7" ht="18" customHeight="1">
      <c r="A78" s="132">
        <v>1927</v>
      </c>
      <c r="B78" s="26">
        <f t="shared" si="11"/>
        <v>1</v>
      </c>
      <c r="C78" s="21">
        <f t="shared" si="10"/>
        <v>0.24468085106382978</v>
      </c>
      <c r="D78" s="22">
        <f t="shared" si="10"/>
        <v>0.0851063829787234</v>
      </c>
      <c r="E78" s="22">
        <f t="shared" si="10"/>
        <v>0.06382978723404255</v>
      </c>
      <c r="F78" s="22">
        <f t="shared" si="10"/>
        <v>0.02127659574468085</v>
      </c>
      <c r="G78" s="183">
        <f t="shared" si="10"/>
        <v>0.5851063829787234</v>
      </c>
    </row>
    <row r="79" spans="1:7" ht="18" customHeight="1">
      <c r="A79" s="132">
        <v>1932</v>
      </c>
      <c r="B79" s="26">
        <f t="shared" si="11"/>
        <v>1</v>
      </c>
      <c r="C79" s="21">
        <f t="shared" si="10"/>
        <v>0.30526315789473685</v>
      </c>
      <c r="D79" s="22">
        <f t="shared" si="10"/>
        <v>0.06315789473684211</v>
      </c>
      <c r="E79" s="22">
        <f t="shared" si="10"/>
        <v>0.042105263157894736</v>
      </c>
      <c r="F79" s="22">
        <f t="shared" si="10"/>
        <v>0</v>
      </c>
      <c r="G79" s="183">
        <f t="shared" si="10"/>
        <v>0.5894736842105263</v>
      </c>
    </row>
    <row r="80" spans="1:7" ht="18" customHeight="1">
      <c r="A80" s="132">
        <v>1937</v>
      </c>
      <c r="B80" s="94">
        <f t="shared" si="11"/>
        <v>1</v>
      </c>
      <c r="C80" s="51">
        <f t="shared" si="10"/>
        <v>0.28888888888888886</v>
      </c>
      <c r="D80" s="52">
        <f t="shared" si="10"/>
        <v>0.044444444444444446</v>
      </c>
      <c r="E80" s="52">
        <f t="shared" si="10"/>
        <v>0.044444444444444446</v>
      </c>
      <c r="F80" s="52">
        <f t="shared" si="10"/>
        <v>0.044444444444444446</v>
      </c>
      <c r="G80" s="205">
        <f t="shared" si="10"/>
        <v>0.5777777777777777</v>
      </c>
    </row>
    <row r="81" spans="1:7" ht="19.5" customHeight="1">
      <c r="A81" s="389"/>
      <c r="B81" s="396" t="s">
        <v>420</v>
      </c>
      <c r="C81" s="397"/>
      <c r="D81" s="397"/>
      <c r="E81" s="397"/>
      <c r="F81" s="397"/>
      <c r="G81" s="493"/>
    </row>
    <row r="82" spans="1:7" ht="19.5" customHeight="1">
      <c r="A82" s="390"/>
      <c r="B82" s="492"/>
      <c r="C82" s="323"/>
      <c r="D82" s="323"/>
      <c r="E82" s="323"/>
      <c r="F82" s="323"/>
      <c r="G82" s="324"/>
    </row>
    <row r="83" spans="1:7" ht="15">
      <c r="A83" s="391"/>
      <c r="B83" s="113" t="s">
        <v>118</v>
      </c>
      <c r="C83" s="113" t="s">
        <v>404</v>
      </c>
      <c r="D83" s="118" t="s">
        <v>405</v>
      </c>
      <c r="E83" s="118" t="s">
        <v>406</v>
      </c>
      <c r="F83" s="118" t="s">
        <v>407</v>
      </c>
      <c r="G83" s="304" t="s">
        <v>408</v>
      </c>
    </row>
    <row r="84" spans="1:7" ht="1.5" customHeight="1">
      <c r="A84" s="130"/>
      <c r="B84" s="109"/>
      <c r="C84" s="119" t="s">
        <v>409</v>
      </c>
      <c r="D84" s="120" t="s">
        <v>410</v>
      </c>
      <c r="E84" s="120" t="s">
        <v>411</v>
      </c>
      <c r="F84" s="120" t="s">
        <v>412</v>
      </c>
      <c r="G84" s="305" t="s">
        <v>413</v>
      </c>
    </row>
    <row r="85" spans="1:7" ht="18" customHeight="1">
      <c r="A85" s="132">
        <v>1872</v>
      </c>
      <c r="B85" s="29">
        <f>SUM(C85:G85)</f>
        <v>68</v>
      </c>
      <c r="C85" s="29">
        <v>16</v>
      </c>
      <c r="D85" s="30">
        <v>6</v>
      </c>
      <c r="E85" s="30">
        <v>3</v>
      </c>
      <c r="F85" s="30">
        <v>1</v>
      </c>
      <c r="G85" s="161">
        <v>42</v>
      </c>
    </row>
    <row r="86" spans="1:7" ht="18" customHeight="1">
      <c r="A86" s="132">
        <v>1882</v>
      </c>
      <c r="B86" s="29">
        <f aca="true" t="shared" si="12" ref="B86:B91">SUM(C86:G86)</f>
        <v>103</v>
      </c>
      <c r="C86" s="29">
        <v>15</v>
      </c>
      <c r="D86" s="30">
        <v>12</v>
      </c>
      <c r="E86" s="30">
        <v>7</v>
      </c>
      <c r="F86" s="30">
        <v>6</v>
      </c>
      <c r="G86" s="161">
        <v>63</v>
      </c>
    </row>
    <row r="87" spans="1:7" ht="18" customHeight="1">
      <c r="A87" s="132">
        <v>1912</v>
      </c>
      <c r="B87" s="29">
        <f t="shared" si="12"/>
        <v>128</v>
      </c>
      <c r="C87" s="29">
        <v>28</v>
      </c>
      <c r="D87" s="30">
        <v>10</v>
      </c>
      <c r="E87" s="30">
        <v>8</v>
      </c>
      <c r="F87" s="30">
        <v>9</v>
      </c>
      <c r="G87" s="161">
        <v>73</v>
      </c>
    </row>
    <row r="88" spans="1:7" ht="18" customHeight="1">
      <c r="A88" s="132">
        <v>1922</v>
      </c>
      <c r="B88" s="29">
        <f t="shared" si="12"/>
        <v>99</v>
      </c>
      <c r="C88" s="29">
        <v>25</v>
      </c>
      <c r="D88" s="30">
        <v>4</v>
      </c>
      <c r="E88" s="30">
        <v>8</v>
      </c>
      <c r="F88" s="30">
        <v>9</v>
      </c>
      <c r="G88" s="161">
        <v>53</v>
      </c>
    </row>
    <row r="89" spans="1:7" ht="18" customHeight="1">
      <c r="A89" s="132">
        <v>1927</v>
      </c>
      <c r="B89" s="29">
        <f t="shared" si="12"/>
        <v>94</v>
      </c>
      <c r="C89" s="29">
        <v>23</v>
      </c>
      <c r="D89" s="30">
        <v>8</v>
      </c>
      <c r="E89" s="30">
        <v>6</v>
      </c>
      <c r="F89" s="30">
        <v>2</v>
      </c>
      <c r="G89" s="161">
        <v>55</v>
      </c>
    </row>
    <row r="90" spans="1:7" ht="18" customHeight="1">
      <c r="A90" s="132">
        <v>1932</v>
      </c>
      <c r="B90" s="29">
        <f t="shared" si="12"/>
        <v>95</v>
      </c>
      <c r="C90" s="29">
        <v>29</v>
      </c>
      <c r="D90" s="30">
        <v>6</v>
      </c>
      <c r="E90" s="30">
        <v>4</v>
      </c>
      <c r="F90" s="30">
        <v>0</v>
      </c>
      <c r="G90" s="161">
        <v>56</v>
      </c>
    </row>
    <row r="91" spans="1:7" ht="18" customHeight="1" thickBot="1">
      <c r="A91" s="192">
        <v>1937</v>
      </c>
      <c r="B91" s="116">
        <f t="shared" si="12"/>
        <v>90</v>
      </c>
      <c r="C91" s="116">
        <v>26</v>
      </c>
      <c r="D91" s="117">
        <v>4</v>
      </c>
      <c r="E91" s="117">
        <v>4</v>
      </c>
      <c r="F91" s="117">
        <v>4</v>
      </c>
      <c r="G91" s="306">
        <v>52</v>
      </c>
    </row>
    <row r="92" spans="1:7" ht="15.75" thickBot="1" thickTop="1">
      <c r="A92" s="327" t="s">
        <v>610</v>
      </c>
      <c r="B92" s="328"/>
      <c r="C92" s="328"/>
      <c r="D92" s="328"/>
      <c r="E92" s="328"/>
      <c r="F92" s="328"/>
      <c r="G92" s="329"/>
    </row>
    <row r="93" ht="15" thickTop="1"/>
  </sheetData>
  <mergeCells count="19">
    <mergeCell ref="A92:G92"/>
    <mergeCell ref="A3:G3"/>
    <mergeCell ref="B4:G4"/>
    <mergeCell ref="A37:A39"/>
    <mergeCell ref="A15:A17"/>
    <mergeCell ref="B15:G16"/>
    <mergeCell ref="A27:A29"/>
    <mergeCell ref="A5:A7"/>
    <mergeCell ref="B5:G6"/>
    <mergeCell ref="B27:G28"/>
    <mergeCell ref="A81:A83"/>
    <mergeCell ref="B81:G82"/>
    <mergeCell ref="A49:A51"/>
    <mergeCell ref="B37:G38"/>
    <mergeCell ref="B49:G50"/>
    <mergeCell ref="B71:G72"/>
    <mergeCell ref="A59:A61"/>
    <mergeCell ref="B59:G60"/>
    <mergeCell ref="A71:A7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70" t="s">
        <v>611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4"/>
      <c r="P3" s="475"/>
      <c r="Q3" s="180"/>
      <c r="R3" s="180"/>
      <c r="S3" s="180"/>
    </row>
    <row r="4" spans="1:19" ht="18" customHeight="1" thickBot="1">
      <c r="A4" s="221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47"/>
      <c r="P4" s="166"/>
      <c r="Q4" s="47"/>
      <c r="R4" s="47"/>
      <c r="S4" s="47"/>
    </row>
    <row r="5" spans="1:19" ht="18" customHeight="1" thickTop="1">
      <c r="A5" s="277"/>
      <c r="B5" s="484" t="s">
        <v>612</v>
      </c>
      <c r="C5" s="485"/>
      <c r="D5" s="485"/>
      <c r="E5" s="486"/>
      <c r="F5" s="484" t="s">
        <v>322</v>
      </c>
      <c r="G5" s="471"/>
      <c r="H5" s="471"/>
      <c r="I5" s="472"/>
      <c r="J5" s="487" t="s">
        <v>323</v>
      </c>
      <c r="K5" s="372"/>
      <c r="L5" s="372"/>
      <c r="M5" s="373"/>
      <c r="N5" s="481" t="s">
        <v>309</v>
      </c>
      <c r="O5" s="483" t="s">
        <v>310</v>
      </c>
      <c r="P5" s="476" t="s">
        <v>311</v>
      </c>
      <c r="Q5" s="194"/>
      <c r="R5" s="47"/>
      <c r="S5" s="47"/>
    </row>
    <row r="6" spans="1:20" ht="30" customHeight="1">
      <c r="A6" s="469"/>
      <c r="B6" s="479" t="s">
        <v>316</v>
      </c>
      <c r="C6" s="437" t="s">
        <v>317</v>
      </c>
      <c r="D6" s="477" t="s">
        <v>319</v>
      </c>
      <c r="E6" s="452" t="s">
        <v>312</v>
      </c>
      <c r="F6" s="479" t="s">
        <v>316</v>
      </c>
      <c r="G6" s="437" t="s">
        <v>317</v>
      </c>
      <c r="H6" s="437" t="s">
        <v>592</v>
      </c>
      <c r="I6" s="452" t="s">
        <v>318</v>
      </c>
      <c r="J6" s="479" t="s">
        <v>316</v>
      </c>
      <c r="K6" s="437" t="s">
        <v>317</v>
      </c>
      <c r="L6" s="437" t="s">
        <v>602</v>
      </c>
      <c r="M6" s="452" t="s">
        <v>318</v>
      </c>
      <c r="N6" s="482"/>
      <c r="O6" s="339"/>
      <c r="P6" s="326"/>
      <c r="Q6" s="194"/>
      <c r="R6" s="47"/>
      <c r="S6" s="47"/>
      <c r="T6" s="47"/>
    </row>
    <row r="7" spans="1:20" ht="30" customHeight="1">
      <c r="A7" s="470"/>
      <c r="B7" s="480"/>
      <c r="C7" s="465"/>
      <c r="D7" s="465"/>
      <c r="E7" s="326"/>
      <c r="F7" s="482"/>
      <c r="G7" s="339"/>
      <c r="H7" s="339"/>
      <c r="I7" s="326"/>
      <c r="J7" s="482"/>
      <c r="K7" s="339"/>
      <c r="L7" s="339"/>
      <c r="M7" s="326"/>
      <c r="N7" s="482"/>
      <c r="O7" s="339"/>
      <c r="P7" s="326"/>
      <c r="Q7" s="194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194"/>
      <c r="R8" s="47"/>
      <c r="S8" s="47"/>
      <c r="T8" s="47"/>
    </row>
    <row r="9" spans="1:20" ht="18" customHeight="1">
      <c r="A9" s="279">
        <v>1872</v>
      </c>
      <c r="B9" s="274">
        <v>66918.32</v>
      </c>
      <c r="C9" s="251">
        <v>30358.85</v>
      </c>
      <c r="D9" s="65">
        <v>0.4536703</v>
      </c>
      <c r="E9" s="183">
        <v>0.1131732</v>
      </c>
      <c r="F9" s="264">
        <v>59322.87</v>
      </c>
      <c r="G9" s="252">
        <v>67371.08</v>
      </c>
      <c r="H9" s="65">
        <v>0.4691628</v>
      </c>
      <c r="I9" s="265">
        <v>1.135668</v>
      </c>
      <c r="J9" s="264">
        <v>67887.63</v>
      </c>
      <c r="K9" s="252">
        <v>25635.51</v>
      </c>
      <c r="L9" s="65">
        <v>2.42415</v>
      </c>
      <c r="M9" s="265">
        <v>0.3776168</v>
      </c>
      <c r="N9" s="272">
        <f>TableB1!E9*'TableB21(0%)'!E9</f>
        <v>0.032239502268990465</v>
      </c>
      <c r="O9" s="54">
        <f aca="true" t="shared" si="0" ref="O9:O15">E9*F9/B9</f>
        <v>0.1003276685828933</v>
      </c>
      <c r="P9" s="239">
        <f aca="true" t="shared" si="1" ref="P9:P15">O9+(1-E9)*K9/B9</f>
        <v>0.4400591098334805</v>
      </c>
      <c r="Q9" s="194"/>
      <c r="R9" s="47"/>
      <c r="S9" s="47"/>
      <c r="T9" s="47"/>
    </row>
    <row r="10" spans="1:20" ht="18" customHeight="1">
      <c r="A10" s="279">
        <v>1882</v>
      </c>
      <c r="B10" s="274">
        <v>78900.05</v>
      </c>
      <c r="C10" s="251">
        <v>34832.06</v>
      </c>
      <c r="D10" s="65">
        <v>0.4414707</v>
      </c>
      <c r="E10" s="183">
        <v>0.1193924</v>
      </c>
      <c r="F10" s="264">
        <v>70041.08</v>
      </c>
      <c r="G10" s="252">
        <v>79332.75</v>
      </c>
      <c r="H10" s="65">
        <v>0.4828432</v>
      </c>
      <c r="I10" s="265">
        <v>1.13266</v>
      </c>
      <c r="J10" s="264">
        <v>80101.15</v>
      </c>
      <c r="K10" s="252">
        <v>28798.68</v>
      </c>
      <c r="L10" s="65">
        <v>2.568641</v>
      </c>
      <c r="M10" s="265">
        <v>0.3595289</v>
      </c>
      <c r="N10" s="272">
        <f>TableB1!E10*'TableB21(0%)'!E10</f>
        <v>0.030563249936948297</v>
      </c>
      <c r="O10" s="54">
        <f t="shared" si="0"/>
        <v>0.10598691179273016</v>
      </c>
      <c r="P10" s="239">
        <f t="shared" si="1"/>
        <v>0.4274104910929714</v>
      </c>
      <c r="Q10" s="194"/>
      <c r="R10" s="47"/>
      <c r="S10" s="47"/>
      <c r="T10" s="47"/>
    </row>
    <row r="11" spans="1:20" ht="18" customHeight="1">
      <c r="A11" s="279">
        <v>1912</v>
      </c>
      <c r="B11" s="274">
        <v>117140.2</v>
      </c>
      <c r="C11" s="251">
        <v>66358.92</v>
      </c>
      <c r="D11" s="65">
        <v>0.5664912</v>
      </c>
      <c r="E11" s="183">
        <v>0.0861689</v>
      </c>
      <c r="F11" s="264">
        <v>174656.1</v>
      </c>
      <c r="G11" s="252">
        <v>198892.5</v>
      </c>
      <c r="H11" s="65">
        <v>0.91791</v>
      </c>
      <c r="I11" s="265">
        <v>1.138766</v>
      </c>
      <c r="J11" s="264">
        <v>111716.8</v>
      </c>
      <c r="K11" s="252">
        <v>53861.78</v>
      </c>
      <c r="L11" s="65">
        <v>2.058081</v>
      </c>
      <c r="M11" s="265">
        <v>0.4821277</v>
      </c>
      <c r="N11" s="272">
        <f>TableB1!E11*'TableB21(0%)'!E11</f>
        <v>0.024107011145235363</v>
      </c>
      <c r="O11" s="54">
        <f t="shared" si="0"/>
        <v>0.12847787536038013</v>
      </c>
      <c r="P11" s="239">
        <f t="shared" si="1"/>
        <v>0.5486630010931175</v>
      </c>
      <c r="Q11" s="194"/>
      <c r="R11" s="47"/>
      <c r="S11" s="47"/>
      <c r="T11" s="47"/>
    </row>
    <row r="12" spans="1:20" ht="18" customHeight="1">
      <c r="A12" s="279">
        <v>1922</v>
      </c>
      <c r="B12" s="274">
        <v>115333</v>
      </c>
      <c r="C12" s="251">
        <v>70391.81</v>
      </c>
      <c r="D12" s="65">
        <v>0.6103355</v>
      </c>
      <c r="E12" s="183">
        <v>0.150011</v>
      </c>
      <c r="F12" s="264">
        <v>203504.2</v>
      </c>
      <c r="G12" s="252">
        <v>267695.2</v>
      </c>
      <c r="H12" s="65">
        <v>1.424302</v>
      </c>
      <c r="I12" s="265">
        <v>1.315429</v>
      </c>
      <c r="J12" s="264">
        <v>99772.02</v>
      </c>
      <c r="K12" s="252">
        <v>35570.57</v>
      </c>
      <c r="L12" s="65">
        <v>1.407318</v>
      </c>
      <c r="M12" s="265">
        <v>0.3565185</v>
      </c>
      <c r="N12" s="272">
        <f>TableB1!E12*'TableB21(0%)'!E12</f>
        <v>0.048613791781597006</v>
      </c>
      <c r="O12" s="54">
        <f t="shared" si="0"/>
        <v>0.2646932668551065</v>
      </c>
      <c r="P12" s="239">
        <f t="shared" si="1"/>
        <v>0.5268436767441236</v>
      </c>
      <c r="Q12" s="194"/>
      <c r="R12" s="47"/>
      <c r="S12" s="47"/>
      <c r="T12" s="47"/>
    </row>
    <row r="13" spans="1:20" ht="18" customHeight="1">
      <c r="A13" s="279">
        <v>1927</v>
      </c>
      <c r="B13" s="274">
        <v>192058.4</v>
      </c>
      <c r="C13" s="251">
        <v>100128</v>
      </c>
      <c r="D13" s="65">
        <v>0.5213413</v>
      </c>
      <c r="E13" s="183">
        <v>0.1217639</v>
      </c>
      <c r="F13" s="264">
        <v>314286.5</v>
      </c>
      <c r="G13" s="253">
        <v>411318</v>
      </c>
      <c r="H13" s="65">
        <v>1.372959</v>
      </c>
      <c r="I13" s="265">
        <v>1.308736</v>
      </c>
      <c r="J13" s="264">
        <v>175111.9</v>
      </c>
      <c r="K13" s="252">
        <v>56982.71</v>
      </c>
      <c r="L13" s="65">
        <v>1.670776</v>
      </c>
      <c r="M13" s="265">
        <v>0.3254074</v>
      </c>
      <c r="N13" s="272">
        <f>TableB1!E13*'TableB21(0%)'!E13</f>
        <v>0.038063783819482666</v>
      </c>
      <c r="O13" s="54">
        <f t="shared" si="0"/>
        <v>0.1992557990556518</v>
      </c>
      <c r="P13" s="239">
        <f t="shared" si="1"/>
        <v>0.4598237981529628</v>
      </c>
      <c r="Q13" s="194"/>
      <c r="R13" s="47"/>
      <c r="S13" s="47"/>
      <c r="T13" s="47"/>
    </row>
    <row r="14" spans="1:20" ht="18" customHeight="1">
      <c r="A14" s="279">
        <v>1932</v>
      </c>
      <c r="B14" s="274">
        <v>193718.8</v>
      </c>
      <c r="C14" s="251">
        <v>94450</v>
      </c>
      <c r="D14" s="65">
        <v>0.4875623</v>
      </c>
      <c r="E14" s="183">
        <v>0.1059754</v>
      </c>
      <c r="F14" s="264">
        <v>318685.3</v>
      </c>
      <c r="G14" s="253">
        <v>450420.3</v>
      </c>
      <c r="H14" s="65">
        <v>1.264239</v>
      </c>
      <c r="I14" s="265">
        <v>1.41337</v>
      </c>
      <c r="J14" s="264">
        <v>178905.6</v>
      </c>
      <c r="K14" s="252">
        <v>52254.18</v>
      </c>
      <c r="L14" s="65">
        <v>1.194133</v>
      </c>
      <c r="M14" s="265">
        <v>0.2920767</v>
      </c>
      <c r="N14" s="272">
        <f>TableB1!E14*'TableB21(0%)'!E14</f>
        <v>0.04041874756915655</v>
      </c>
      <c r="O14" s="54">
        <f t="shared" si="0"/>
        <v>0.17433931111291212</v>
      </c>
      <c r="P14" s="239">
        <f t="shared" si="1"/>
        <v>0.4154956798950231</v>
      </c>
      <c r="Q14" s="194"/>
      <c r="R14" s="47"/>
      <c r="S14" s="47"/>
      <c r="T14" s="47"/>
    </row>
    <row r="15" spans="1:20" ht="18" customHeight="1" thickBot="1">
      <c r="A15" s="280">
        <v>1937</v>
      </c>
      <c r="B15" s="275">
        <v>187213.3</v>
      </c>
      <c r="C15" s="276">
        <v>86426.09</v>
      </c>
      <c r="D15" s="270">
        <v>0.4616451</v>
      </c>
      <c r="E15" s="226">
        <v>0.0874539</v>
      </c>
      <c r="F15" s="266">
        <v>294115.6</v>
      </c>
      <c r="G15" s="267">
        <v>415218</v>
      </c>
      <c r="H15" s="270">
        <v>0.955615</v>
      </c>
      <c r="I15" s="268">
        <v>1.411751</v>
      </c>
      <c r="J15" s="266">
        <v>176968.3</v>
      </c>
      <c r="K15" s="269">
        <v>54916.31</v>
      </c>
      <c r="L15" s="270">
        <v>0.9595487</v>
      </c>
      <c r="M15" s="268">
        <v>0.3103172</v>
      </c>
      <c r="N15" s="273">
        <f>TableB1!E15*'TableB21(0%)'!E15</f>
        <v>0.03694683219261794</v>
      </c>
      <c r="O15" s="241">
        <f t="shared" si="0"/>
        <v>0.13739171453545235</v>
      </c>
      <c r="P15" s="242">
        <f t="shared" si="1"/>
        <v>0.40507389585959436</v>
      </c>
      <c r="Q15" s="194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66" t="s">
        <v>313</v>
      </c>
      <c r="C17" s="467"/>
      <c r="D17" s="468"/>
      <c r="E17" s="466" t="s">
        <v>314</v>
      </c>
      <c r="F17" s="467"/>
      <c r="G17" s="468"/>
      <c r="H17" s="478" t="s">
        <v>315</v>
      </c>
      <c r="I17" s="467"/>
      <c r="J17" s="468"/>
      <c r="K17" s="466" t="s">
        <v>600</v>
      </c>
      <c r="L17" s="467"/>
      <c r="M17" s="468"/>
      <c r="N17" s="466" t="s">
        <v>601</v>
      </c>
      <c r="O17" s="467"/>
      <c r="P17" s="468"/>
      <c r="Q17" s="69"/>
      <c r="R17" s="69"/>
      <c r="S17" s="69"/>
    </row>
    <row r="18" spans="1:19" ht="15" customHeight="1">
      <c r="A18" s="469"/>
      <c r="B18" s="479" t="s">
        <v>300</v>
      </c>
      <c r="C18" s="437" t="s">
        <v>182</v>
      </c>
      <c r="D18" s="452" t="s">
        <v>181</v>
      </c>
      <c r="E18" s="479" t="s">
        <v>300</v>
      </c>
      <c r="F18" s="437" t="s">
        <v>182</v>
      </c>
      <c r="G18" s="452" t="s">
        <v>181</v>
      </c>
      <c r="H18" s="479" t="s">
        <v>300</v>
      </c>
      <c r="I18" s="437" t="s">
        <v>182</v>
      </c>
      <c r="J18" s="452" t="s">
        <v>181</v>
      </c>
      <c r="K18" s="479" t="s">
        <v>300</v>
      </c>
      <c r="L18" s="437" t="s">
        <v>182</v>
      </c>
      <c r="M18" s="452" t="s">
        <v>181</v>
      </c>
      <c r="N18" s="479" t="s">
        <v>300</v>
      </c>
      <c r="O18" s="437" t="s">
        <v>182</v>
      </c>
      <c r="P18" s="452" t="s">
        <v>181</v>
      </c>
      <c r="Q18" s="123"/>
      <c r="R18" s="263"/>
      <c r="S18" s="123"/>
    </row>
    <row r="19" spans="1:19" ht="15">
      <c r="A19" s="470"/>
      <c r="B19" s="480"/>
      <c r="C19" s="465"/>
      <c r="D19" s="463"/>
      <c r="E19" s="480"/>
      <c r="F19" s="465"/>
      <c r="G19" s="463"/>
      <c r="H19" s="480"/>
      <c r="I19" s="465"/>
      <c r="J19" s="463"/>
      <c r="K19" s="480"/>
      <c r="L19" s="465"/>
      <c r="M19" s="463"/>
      <c r="N19" s="480"/>
      <c r="O19" s="465"/>
      <c r="P19" s="463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0.0955414</v>
      </c>
      <c r="C21" s="22">
        <v>0.148855</v>
      </c>
      <c r="D21" s="183">
        <v>0.0588235</v>
      </c>
      <c r="E21" s="287">
        <v>0.0887954</v>
      </c>
      <c r="F21" s="22">
        <v>0.1169433</v>
      </c>
      <c r="G21" s="183">
        <v>0.0823567</v>
      </c>
      <c r="H21" s="287">
        <v>0.3006852</v>
      </c>
      <c r="I21" s="22">
        <v>0.3906572</v>
      </c>
      <c r="J21" s="183">
        <v>0.511322</v>
      </c>
      <c r="K21" s="292">
        <v>0.1324505</v>
      </c>
      <c r="L21" s="49">
        <v>0.9082112</v>
      </c>
      <c r="M21" s="200">
        <v>3.951956</v>
      </c>
      <c r="N21" s="292">
        <v>0.2016903</v>
      </c>
      <c r="O21" s="284">
        <v>5.02083</v>
      </c>
      <c r="P21" s="285">
        <v>34.45371</v>
      </c>
      <c r="Q21" s="229"/>
      <c r="R21" s="229"/>
      <c r="S21" s="229"/>
    </row>
    <row r="22" spans="1:19" ht="15">
      <c r="A22" s="279">
        <v>1882</v>
      </c>
      <c r="B22" s="287">
        <v>0.1207484</v>
      </c>
      <c r="C22" s="22">
        <v>0.1112786</v>
      </c>
      <c r="D22" s="183">
        <v>0.0970874</v>
      </c>
      <c r="E22" s="287">
        <v>0.1247003</v>
      </c>
      <c r="F22" s="22">
        <v>0.1094408</v>
      </c>
      <c r="G22" s="183">
        <v>0.1012808</v>
      </c>
      <c r="H22" s="287">
        <v>0.2590422</v>
      </c>
      <c r="I22" s="22">
        <v>0.385705</v>
      </c>
      <c r="J22" s="183">
        <v>0.4802174</v>
      </c>
      <c r="K22" s="292">
        <v>0.152573</v>
      </c>
      <c r="L22" s="49">
        <v>0.8819357</v>
      </c>
      <c r="M22" s="200">
        <v>5.018305</v>
      </c>
      <c r="N22" s="292">
        <v>0.1809513</v>
      </c>
      <c r="O22" s="284">
        <v>4.090272</v>
      </c>
      <c r="P22" s="285">
        <v>38.16547</v>
      </c>
      <c r="Q22" s="229"/>
      <c r="R22" s="229"/>
      <c r="S22" s="229"/>
    </row>
    <row r="23" spans="1:19" ht="15">
      <c r="A23" s="279">
        <v>1912</v>
      </c>
      <c r="B23" s="287">
        <v>0.0639706</v>
      </c>
      <c r="C23" s="22">
        <v>0.12692</v>
      </c>
      <c r="D23" s="183">
        <v>0.1640625</v>
      </c>
      <c r="E23" s="287">
        <v>0.0999741</v>
      </c>
      <c r="F23" s="22">
        <v>0.13474</v>
      </c>
      <c r="G23" s="183">
        <v>0.1260141</v>
      </c>
      <c r="H23" s="287">
        <v>0.2338556</v>
      </c>
      <c r="I23" s="22">
        <v>0.4335002</v>
      </c>
      <c r="J23" s="183">
        <v>0.6299081</v>
      </c>
      <c r="K23" s="292">
        <v>0.1134094</v>
      </c>
      <c r="L23" s="49">
        <v>0.878538</v>
      </c>
      <c r="M23" s="200">
        <v>7.878125</v>
      </c>
      <c r="N23" s="292">
        <v>0.1371915</v>
      </c>
      <c r="O23" s="284">
        <v>3.169985</v>
      </c>
      <c r="P23" s="285">
        <v>36.54153</v>
      </c>
      <c r="Q23" s="229"/>
      <c r="R23" s="229"/>
      <c r="S23" s="229"/>
    </row>
    <row r="24" spans="1:19" ht="15">
      <c r="A24" s="279">
        <v>1922</v>
      </c>
      <c r="B24" s="287">
        <v>0.1249207</v>
      </c>
      <c r="C24" s="22">
        <v>0.2007692</v>
      </c>
      <c r="D24" s="183">
        <v>0.2828283</v>
      </c>
      <c r="E24" s="287">
        <v>0.1451612</v>
      </c>
      <c r="F24" s="22">
        <v>0.236641</v>
      </c>
      <c r="G24" s="183">
        <v>0.3167656</v>
      </c>
      <c r="H24" s="287">
        <v>0.3069559</v>
      </c>
      <c r="I24" s="22">
        <v>0.4829338</v>
      </c>
      <c r="J24" s="183">
        <v>0.612707</v>
      </c>
      <c r="K24" s="292">
        <v>0.1883619</v>
      </c>
      <c r="L24" s="49">
        <v>2.329284</v>
      </c>
      <c r="M24" s="200">
        <v>10.38003</v>
      </c>
      <c r="N24" s="292">
        <v>0.1597074</v>
      </c>
      <c r="O24" s="284">
        <v>3.061006</v>
      </c>
      <c r="P24" s="285">
        <v>25.70624</v>
      </c>
      <c r="Q24" s="229"/>
      <c r="R24" s="229"/>
      <c r="S24" s="229"/>
    </row>
    <row r="25" spans="1:19" ht="15">
      <c r="A25" s="279">
        <v>1927</v>
      </c>
      <c r="B25" s="287">
        <v>0.0668332</v>
      </c>
      <c r="C25" s="22">
        <v>0.2030457</v>
      </c>
      <c r="D25" s="183">
        <v>0.2234043</v>
      </c>
      <c r="E25" s="287">
        <v>0.0771845</v>
      </c>
      <c r="F25" s="22">
        <v>0.2267125</v>
      </c>
      <c r="G25" s="183">
        <v>0.1903032</v>
      </c>
      <c r="H25" s="287">
        <v>0.1868555</v>
      </c>
      <c r="I25" s="22">
        <v>0.4636336</v>
      </c>
      <c r="J25" s="183">
        <v>0.4888504</v>
      </c>
      <c r="K25" s="292">
        <v>0.2706773</v>
      </c>
      <c r="L25" s="49">
        <v>2.278212</v>
      </c>
      <c r="M25" s="200">
        <v>6.969821</v>
      </c>
      <c r="N25" s="292">
        <v>0.203144</v>
      </c>
      <c r="O25" s="284">
        <v>3.054016</v>
      </c>
      <c r="P25" s="285">
        <v>43.89371</v>
      </c>
      <c r="Q25" s="229"/>
      <c r="R25" s="229"/>
      <c r="S25" s="229"/>
    </row>
    <row r="26" spans="1:19" ht="15">
      <c r="A26" s="279">
        <v>1932</v>
      </c>
      <c r="B26" s="287">
        <v>0.0698198</v>
      </c>
      <c r="C26" s="22">
        <v>0.1421801</v>
      </c>
      <c r="D26" s="183">
        <v>0.21875</v>
      </c>
      <c r="E26" s="287">
        <v>0.0768258</v>
      </c>
      <c r="F26" s="22">
        <v>0.1676687</v>
      </c>
      <c r="G26" s="183">
        <v>0.1984565</v>
      </c>
      <c r="H26" s="287">
        <v>0.2154576</v>
      </c>
      <c r="I26" s="22">
        <v>0.3833852</v>
      </c>
      <c r="J26" s="183">
        <v>0.486488</v>
      </c>
      <c r="K26" s="292">
        <v>0.2233013</v>
      </c>
      <c r="L26" s="49">
        <v>1.872261</v>
      </c>
      <c r="M26" s="200">
        <v>12.69593</v>
      </c>
      <c r="N26" s="292">
        <v>0.1932442</v>
      </c>
      <c r="O26" s="284">
        <v>2.726758</v>
      </c>
      <c r="P26" s="285">
        <v>26.95083</v>
      </c>
      <c r="Q26" s="229"/>
      <c r="R26" s="229"/>
      <c r="S26" s="229"/>
    </row>
    <row r="27" spans="1:19" ht="15" thickBot="1">
      <c r="A27" s="280">
        <v>1937</v>
      </c>
      <c r="B27" s="288">
        <v>0.0568019</v>
      </c>
      <c r="C27" s="126">
        <v>0.1588785</v>
      </c>
      <c r="D27" s="226">
        <v>0.1777778</v>
      </c>
      <c r="E27" s="288">
        <v>0.0676728</v>
      </c>
      <c r="F27" s="126">
        <v>0.1755667</v>
      </c>
      <c r="G27" s="226">
        <v>0.1230738</v>
      </c>
      <c r="H27" s="288">
        <v>0.1738484</v>
      </c>
      <c r="I27" s="126">
        <v>0.3913305</v>
      </c>
      <c r="J27" s="226">
        <v>0.4680285</v>
      </c>
      <c r="K27" s="293">
        <v>0.3359951</v>
      </c>
      <c r="L27" s="294">
        <v>1.538373</v>
      </c>
      <c r="M27" s="295">
        <v>6.708864</v>
      </c>
      <c r="N27" s="293">
        <v>0.1693186</v>
      </c>
      <c r="O27" s="296">
        <v>2.268282</v>
      </c>
      <c r="P27" s="297">
        <v>26.35416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66" t="s">
        <v>567</v>
      </c>
      <c r="C29" s="467"/>
      <c r="D29" s="468"/>
      <c r="E29" s="466" t="s">
        <v>572</v>
      </c>
      <c r="F29" s="471"/>
      <c r="G29" s="472"/>
      <c r="H29" s="466" t="s">
        <v>574</v>
      </c>
      <c r="I29" s="471"/>
      <c r="J29" s="472"/>
      <c r="K29" s="466" t="s">
        <v>573</v>
      </c>
      <c r="L29" s="467"/>
      <c r="M29" s="468"/>
      <c r="N29" s="466" t="s">
        <v>575</v>
      </c>
      <c r="O29" s="467"/>
      <c r="P29" s="46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69"/>
      <c r="B30" s="392" t="s">
        <v>571</v>
      </c>
      <c r="C30" s="437" t="s">
        <v>565</v>
      </c>
      <c r="D30" s="452" t="s">
        <v>566</v>
      </c>
      <c r="E30" s="392" t="s">
        <v>571</v>
      </c>
      <c r="F30" s="437" t="s">
        <v>565</v>
      </c>
      <c r="G30" s="452" t="s">
        <v>566</v>
      </c>
      <c r="H30" s="392" t="s">
        <v>571</v>
      </c>
      <c r="I30" s="437" t="s">
        <v>565</v>
      </c>
      <c r="J30" s="452" t="s">
        <v>566</v>
      </c>
      <c r="K30" s="392" t="s">
        <v>571</v>
      </c>
      <c r="L30" s="437" t="s">
        <v>565</v>
      </c>
      <c r="M30" s="452" t="s">
        <v>566</v>
      </c>
      <c r="N30" s="392" t="s">
        <v>571</v>
      </c>
      <c r="O30" s="437" t="s">
        <v>565</v>
      </c>
      <c r="P30" s="452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70"/>
      <c r="B31" s="464"/>
      <c r="C31" s="465"/>
      <c r="D31" s="463"/>
      <c r="E31" s="464"/>
      <c r="F31" s="465"/>
      <c r="G31" s="463"/>
      <c r="H31" s="464"/>
      <c r="I31" s="465"/>
      <c r="J31" s="463"/>
      <c r="K31" s="464"/>
      <c r="L31" s="465"/>
      <c r="M31" s="463"/>
      <c r="N31" s="464"/>
      <c r="O31" s="465"/>
      <c r="P31" s="463"/>
      <c r="Q31" s="123"/>
      <c r="R31" s="123"/>
      <c r="S31" s="123"/>
      <c r="W31" s="381"/>
      <c r="X31" s="381"/>
      <c r="Y31" s="381"/>
      <c r="Z31" s="381"/>
      <c r="AA31" s="381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0.1131732</v>
      </c>
      <c r="C33" s="22">
        <v>0.1003277</v>
      </c>
      <c r="D33" s="23">
        <v>0.4400591</v>
      </c>
      <c r="E33" s="21">
        <v>0.1222707</v>
      </c>
      <c r="F33" s="22">
        <v>0.1116249</v>
      </c>
      <c r="G33" s="23">
        <v>0.4123375</v>
      </c>
      <c r="H33" s="22">
        <v>0.1106259</v>
      </c>
      <c r="I33" s="22">
        <v>0.1120358</v>
      </c>
      <c r="J33" s="23">
        <v>0.4233363</v>
      </c>
      <c r="K33" s="22">
        <v>0.1193595</v>
      </c>
      <c r="L33" s="22">
        <v>0.0999851</v>
      </c>
      <c r="M33" s="23">
        <v>0.434105</v>
      </c>
      <c r="N33" s="22">
        <v>0.1215429</v>
      </c>
      <c r="O33" s="22">
        <v>0.1367233</v>
      </c>
      <c r="P33" s="183">
        <v>0.377817</v>
      </c>
      <c r="Q33" s="22"/>
      <c r="R33" s="22"/>
      <c r="S33" s="22"/>
      <c r="W33" s="21">
        <f>TableB1!$E9*'TableB21(0%)'!B33</f>
        <v>0.032239502268990465</v>
      </c>
      <c r="X33" s="21">
        <f>TableB1!$E9*'TableB21(0%)'!E33</f>
        <v>0.03483109526001785</v>
      </c>
      <c r="Y33" s="21">
        <f>TableB1!$E9*'TableB21(0%)'!H33</f>
        <v>0.031513856231502796</v>
      </c>
      <c r="Z33" s="21">
        <f>TableB1!$E9*'TableB21(0%)'!K33</f>
        <v>0.034001785502889084</v>
      </c>
      <c r="AA33" s="21">
        <f>TableB1!$E9*'TableB21(0%)'!N33</f>
        <v>0.03462376782073566</v>
      </c>
    </row>
    <row r="34" spans="1:27" ht="15">
      <c r="A34" s="279">
        <v>1882</v>
      </c>
      <c r="B34" s="21">
        <v>0.1193924</v>
      </c>
      <c r="C34" s="22">
        <v>0.1059869</v>
      </c>
      <c r="D34" s="23">
        <v>0.4274105</v>
      </c>
      <c r="E34" s="21">
        <v>0.1235801</v>
      </c>
      <c r="F34" s="22">
        <v>0.1104066</v>
      </c>
      <c r="G34" s="23">
        <v>0.411901</v>
      </c>
      <c r="H34" s="22">
        <v>0.1209525</v>
      </c>
      <c r="I34" s="22">
        <v>0.1226808</v>
      </c>
      <c r="J34" s="23">
        <v>0.4076613</v>
      </c>
      <c r="K34" s="22">
        <v>0.125195</v>
      </c>
      <c r="L34" s="22">
        <v>0.1325802</v>
      </c>
      <c r="M34" s="23">
        <v>0.3870373</v>
      </c>
      <c r="N34" s="22">
        <v>0.1219379</v>
      </c>
      <c r="O34" s="22">
        <v>0.1414831</v>
      </c>
      <c r="P34" s="183">
        <v>0.3839256</v>
      </c>
      <c r="Q34" s="22"/>
      <c r="R34" s="22"/>
      <c r="S34" s="22"/>
      <c r="W34" s="21">
        <f>TableB1!$E10*'TableB21(0%)'!B34</f>
        <v>0.030563249936948297</v>
      </c>
      <c r="X34" s="21">
        <f>TableB1!$E10*'TableB21(0%)'!E34</f>
        <v>0.031635258890290036</v>
      </c>
      <c r="Y34" s="21">
        <f>TableB1!$E10*'TableB21(0%)'!H34</f>
        <v>0.030962619798234555</v>
      </c>
      <c r="Z34" s="21">
        <f>TableB1!$E10*'TableB21(0%)'!K34</f>
        <v>0.03204865699873897</v>
      </c>
      <c r="AA34" s="21">
        <f>TableB1!$E10*'TableB21(0%)'!N34</f>
        <v>0.031214872257250947</v>
      </c>
    </row>
    <row r="35" spans="1:27" ht="15">
      <c r="A35" s="279">
        <v>1912</v>
      </c>
      <c r="B35" s="21">
        <v>0.0861689</v>
      </c>
      <c r="C35" s="22">
        <v>0.1284779</v>
      </c>
      <c r="D35" s="23">
        <v>0.5486628</v>
      </c>
      <c r="E35" s="21">
        <v>0.0856793</v>
      </c>
      <c r="F35" s="22">
        <v>0.198439</v>
      </c>
      <c r="G35" s="23">
        <v>0.5262341</v>
      </c>
      <c r="H35" s="22">
        <v>0.0849449</v>
      </c>
      <c r="I35" s="22">
        <v>0.2568707</v>
      </c>
      <c r="J35" s="23">
        <v>0.5351112</v>
      </c>
      <c r="K35" s="22">
        <v>0.0805386</v>
      </c>
      <c r="L35" s="22">
        <v>0.1635129</v>
      </c>
      <c r="M35" s="23">
        <v>0.5003339</v>
      </c>
      <c r="N35" s="22">
        <v>0.0832313</v>
      </c>
      <c r="O35" s="22">
        <v>0.181423</v>
      </c>
      <c r="P35" s="183">
        <v>0.4798569</v>
      </c>
      <c r="Q35" s="22"/>
      <c r="R35" s="22"/>
      <c r="S35" s="22"/>
      <c r="W35" s="21">
        <f>TableB1!$E11*'TableB21(0%)'!B35</f>
        <v>0.024107011145235363</v>
      </c>
      <c r="X35" s="21">
        <f>TableB1!$E11*'TableB21(0%)'!E35</f>
        <v>0.023970038378300803</v>
      </c>
      <c r="Y35" s="21">
        <f>TableB1!$E11*'TableB21(0%)'!H35</f>
        <v>0.023764579227898965</v>
      </c>
      <c r="Z35" s="21">
        <f>TableB1!$E11*'TableB21(0%)'!K35</f>
        <v>0.022531852301951778</v>
      </c>
      <c r="AA35" s="21">
        <f>TableB1!$E11*'TableB21(0%)'!N35</f>
        <v>0.02328517454362801</v>
      </c>
    </row>
    <row r="36" spans="1:27" ht="15">
      <c r="A36" s="279">
        <v>1922</v>
      </c>
      <c r="B36" s="21">
        <v>0.1537448</v>
      </c>
      <c r="C36" s="22">
        <v>0.2663958</v>
      </c>
      <c r="D36" s="23">
        <v>0.5244932</v>
      </c>
      <c r="E36" s="21">
        <v>0.1533055</v>
      </c>
      <c r="F36" s="22">
        <v>0.2386212</v>
      </c>
      <c r="G36" s="23">
        <v>0.5061582</v>
      </c>
      <c r="H36" s="22">
        <v>0.1546233</v>
      </c>
      <c r="I36" s="22">
        <v>0.2299867</v>
      </c>
      <c r="J36" s="23">
        <v>0.5041822</v>
      </c>
      <c r="K36" s="22">
        <v>0.1478146</v>
      </c>
      <c r="L36" s="22">
        <v>0.2445</v>
      </c>
      <c r="M36" s="23">
        <v>0.4952548</v>
      </c>
      <c r="N36" s="22">
        <v>0.1493521</v>
      </c>
      <c r="O36" s="22">
        <v>0.236977</v>
      </c>
      <c r="P36" s="183">
        <v>0.4542261</v>
      </c>
      <c r="Q36" s="22"/>
      <c r="R36" s="22"/>
      <c r="S36" s="22"/>
      <c r="W36" s="21">
        <f>TableB1!$E12*'TableB21(0%)'!B36</f>
        <v>0.04982379755286795</v>
      </c>
      <c r="X36" s="21">
        <f>TableB1!$E12*'TableB21(0%)'!E36</f>
        <v>0.04968143440130137</v>
      </c>
      <c r="Y36" s="21">
        <f>TableB1!$E12*'TableB21(0%)'!H36</f>
        <v>0.050108491449183105</v>
      </c>
      <c r="Z36" s="21">
        <f>TableB1!$E12*'TableB21(0%)'!K36</f>
        <v>0.04790200843058207</v>
      </c>
      <c r="AA36" s="21">
        <f>TableB1!$E12*'TableB21(0%)'!N36</f>
        <v>0.048400263257656125</v>
      </c>
    </row>
    <row r="37" spans="1:27" ht="15">
      <c r="A37" s="279">
        <v>1927</v>
      </c>
      <c r="B37" s="21">
        <v>0.1182536</v>
      </c>
      <c r="C37" s="22">
        <v>0.1977459</v>
      </c>
      <c r="D37" s="23">
        <v>0.4571539</v>
      </c>
      <c r="E37" s="21">
        <v>0.1193506</v>
      </c>
      <c r="F37" s="22">
        <v>0.1922638</v>
      </c>
      <c r="G37" s="23">
        <v>0.4305744</v>
      </c>
      <c r="H37" s="22">
        <v>0.1154015</v>
      </c>
      <c r="I37" s="22">
        <v>0.1930533</v>
      </c>
      <c r="J37" s="23">
        <v>0.4267973</v>
      </c>
      <c r="K37" s="22">
        <v>0.1189118</v>
      </c>
      <c r="L37" s="22">
        <v>0.1886782</v>
      </c>
      <c r="M37" s="23">
        <v>0.4289763</v>
      </c>
      <c r="N37" s="22">
        <v>0.1186924</v>
      </c>
      <c r="O37" s="22">
        <v>0.1959489</v>
      </c>
      <c r="P37" s="183">
        <v>0.3836885</v>
      </c>
      <c r="Q37" s="22"/>
      <c r="R37" s="22"/>
      <c r="S37" s="22"/>
      <c r="W37" s="21">
        <f>TableB1!$E13*'TableB21(0%)'!B37</f>
        <v>0.03696645283434232</v>
      </c>
      <c r="X37" s="21">
        <f>TableB1!$E13*'TableB21(0%)'!E37</f>
        <v>0.03730937853604843</v>
      </c>
      <c r="Y37" s="21">
        <f>TableB1!$E13*'TableB21(0%)'!H37</f>
        <v>0.036074877270225646</v>
      </c>
      <c r="Z37" s="21">
        <f>TableB1!$E13*'TableB21(0%)'!K37</f>
        <v>0.03717220825536599</v>
      </c>
      <c r="AA37" s="21">
        <f>TableB1!$E13*'TableB21(0%)'!N37</f>
        <v>0.03710362311502477</v>
      </c>
    </row>
    <row r="38" spans="1:27" ht="15">
      <c r="A38" s="279">
        <v>1932</v>
      </c>
      <c r="B38" s="21">
        <v>0.1140954</v>
      </c>
      <c r="C38" s="22">
        <v>0.1895397</v>
      </c>
      <c r="D38" s="23">
        <v>0.4220763</v>
      </c>
      <c r="E38" s="21">
        <v>0.1140954</v>
      </c>
      <c r="F38" s="22">
        <v>0.2127263</v>
      </c>
      <c r="G38" s="23">
        <v>0.4147846</v>
      </c>
      <c r="H38" s="22">
        <v>0.1161774</v>
      </c>
      <c r="I38" s="22">
        <v>0.1743177</v>
      </c>
      <c r="J38" s="23">
        <v>0.4052311</v>
      </c>
      <c r="K38" s="22">
        <v>0.1180512</v>
      </c>
      <c r="L38" s="22">
        <v>0.1544987</v>
      </c>
      <c r="M38" s="23">
        <v>0.3860445</v>
      </c>
      <c r="N38" s="22">
        <v>0.1151364</v>
      </c>
      <c r="O38" s="22">
        <v>0.2036896</v>
      </c>
      <c r="P38" s="183">
        <v>0.386468</v>
      </c>
      <c r="Q38" s="22"/>
      <c r="R38" s="22"/>
      <c r="S38" s="22"/>
      <c r="W38" s="21">
        <f>TableB1!$E14*'TableB21(0%)'!B38</f>
        <v>0.04351569488203814</v>
      </c>
      <c r="X38" s="21">
        <f>TableB1!$E14*'TableB21(0%)'!E38</f>
        <v>0.04351569488203814</v>
      </c>
      <c r="Y38" s="21">
        <f>TableB1!$E14*'TableB21(0%)'!H38</f>
        <v>0.044309764377779455</v>
      </c>
      <c r="Z38" s="21">
        <f>TableB1!$E14*'TableB21(0%)'!K38</f>
        <v>0.045024426923946634</v>
      </c>
      <c r="AA38" s="21">
        <f>TableB1!$E14*'TableB21(0%)'!N38</f>
        <v>0.043912729629908796</v>
      </c>
    </row>
    <row r="39" spans="1:27" ht="15" thickBot="1">
      <c r="A39" s="280">
        <v>1937</v>
      </c>
      <c r="B39" s="21">
        <v>0.0863469</v>
      </c>
      <c r="C39" s="22">
        <v>0.1431298</v>
      </c>
      <c r="D39" s="23">
        <v>0.4058573</v>
      </c>
      <c r="E39" s="21">
        <v>0.0854244</v>
      </c>
      <c r="F39" s="22">
        <v>0.1276573</v>
      </c>
      <c r="G39" s="23">
        <v>0.3825527</v>
      </c>
      <c r="H39" s="22">
        <v>0.0843173</v>
      </c>
      <c r="I39" s="22">
        <v>0.1444308</v>
      </c>
      <c r="J39" s="23">
        <v>0.3880517</v>
      </c>
      <c r="K39" s="22">
        <v>0.0837638</v>
      </c>
      <c r="L39" s="22">
        <v>0.1306372</v>
      </c>
      <c r="M39" s="23">
        <v>0.357767</v>
      </c>
      <c r="N39" s="22">
        <v>0.0896679</v>
      </c>
      <c r="O39" s="22">
        <v>0.1700456</v>
      </c>
      <c r="P39" s="183">
        <v>0.3924361</v>
      </c>
      <c r="Q39" s="22"/>
      <c r="R39" s="22"/>
      <c r="S39" s="22"/>
      <c r="W39" s="21">
        <f>TableB1!$E15*'TableB21(0%)'!B39</f>
        <v>0.03647915558543144</v>
      </c>
      <c r="X39" s="21">
        <f>TableB1!$E15*'TableB21(0%)'!E39</f>
        <v>0.036089425079442676</v>
      </c>
      <c r="Y39" s="21">
        <f>TableB1!$E15*'TableB21(0%)'!H39</f>
        <v>0.03562170622504685</v>
      </c>
      <c r="Z39" s="21">
        <f>TableB1!$E15*'TableB21(0%)'!K39</f>
        <v>0.0353878679214536</v>
      </c>
      <c r="AA39" s="21">
        <f>TableB1!$E15*'TableB21(0%)'!N39</f>
        <v>0.037882185406990954</v>
      </c>
    </row>
    <row r="40" spans="1:19" ht="15.75" thickBot="1" thickTop="1">
      <c r="A40" s="327" t="s">
        <v>614</v>
      </c>
      <c r="B40" s="328"/>
      <c r="C40" s="328"/>
      <c r="D40" s="328"/>
      <c r="E40" s="328"/>
      <c r="F40" s="328"/>
      <c r="G40" s="328"/>
      <c r="H40" s="328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A40:P40"/>
    <mergeCell ref="X30:X31"/>
    <mergeCell ref="Y30:Y31"/>
    <mergeCell ref="Z30:Z31"/>
    <mergeCell ref="J30:J31"/>
    <mergeCell ref="K30:K31"/>
    <mergeCell ref="L30:L31"/>
    <mergeCell ref="M30:M31"/>
    <mergeCell ref="AA30:AA31"/>
    <mergeCell ref="N30:N31"/>
    <mergeCell ref="O30:O31"/>
    <mergeCell ref="P30:P31"/>
    <mergeCell ref="W30:W31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B29:D29"/>
    <mergeCell ref="E29:G29"/>
    <mergeCell ref="H29:J29"/>
    <mergeCell ref="K29:M2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F18:F19"/>
    <mergeCell ref="G18:G19"/>
    <mergeCell ref="H18:H19"/>
    <mergeCell ref="M18:M19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O5:O7"/>
    <mergeCell ref="B5:E5"/>
    <mergeCell ref="E6:E7"/>
    <mergeCell ref="F5:I5"/>
    <mergeCell ref="J5:M5"/>
    <mergeCell ref="F6:F7"/>
    <mergeCell ref="M6:M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25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70" t="s">
        <v>613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4"/>
      <c r="P3" s="475"/>
      <c r="Q3" s="180"/>
      <c r="R3" s="180"/>
      <c r="S3" s="180"/>
    </row>
    <row r="4" spans="1:19" ht="18" customHeight="1" thickBot="1">
      <c r="A4" s="221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47"/>
      <c r="P4" s="166"/>
      <c r="Q4" s="47"/>
      <c r="R4" s="47"/>
      <c r="S4" s="47"/>
    </row>
    <row r="5" spans="1:19" ht="18" customHeight="1" thickTop="1">
      <c r="A5" s="277"/>
      <c r="B5" s="484" t="s">
        <v>612</v>
      </c>
      <c r="C5" s="485"/>
      <c r="D5" s="485"/>
      <c r="E5" s="486"/>
      <c r="F5" s="484" t="s">
        <v>322</v>
      </c>
      <c r="G5" s="471"/>
      <c r="H5" s="471"/>
      <c r="I5" s="472"/>
      <c r="J5" s="487" t="s">
        <v>323</v>
      </c>
      <c r="K5" s="372"/>
      <c r="L5" s="372"/>
      <c r="M5" s="373"/>
      <c r="N5" s="481" t="s">
        <v>309</v>
      </c>
      <c r="O5" s="483" t="s">
        <v>310</v>
      </c>
      <c r="P5" s="476" t="s">
        <v>311</v>
      </c>
      <c r="Q5" s="47"/>
      <c r="R5" s="47"/>
      <c r="S5" s="47"/>
    </row>
    <row r="6" spans="1:20" ht="30" customHeight="1">
      <c r="A6" s="469"/>
      <c r="B6" s="479" t="s">
        <v>316</v>
      </c>
      <c r="C6" s="437" t="s">
        <v>317</v>
      </c>
      <c r="D6" s="477" t="s">
        <v>319</v>
      </c>
      <c r="E6" s="452" t="s">
        <v>312</v>
      </c>
      <c r="F6" s="479" t="s">
        <v>316</v>
      </c>
      <c r="G6" s="437" t="s">
        <v>317</v>
      </c>
      <c r="H6" s="437" t="s">
        <v>592</v>
      </c>
      <c r="I6" s="452" t="s">
        <v>318</v>
      </c>
      <c r="J6" s="479" t="s">
        <v>316</v>
      </c>
      <c r="K6" s="437" t="s">
        <v>317</v>
      </c>
      <c r="L6" s="437" t="s">
        <v>602</v>
      </c>
      <c r="M6" s="452" t="s">
        <v>318</v>
      </c>
      <c r="N6" s="482"/>
      <c r="O6" s="339"/>
      <c r="P6" s="326"/>
      <c r="Q6" s="47"/>
      <c r="R6" s="47"/>
      <c r="S6" s="47"/>
      <c r="T6" s="47"/>
    </row>
    <row r="7" spans="1:20" ht="30" customHeight="1">
      <c r="A7" s="470"/>
      <c r="B7" s="480"/>
      <c r="C7" s="465"/>
      <c r="D7" s="465"/>
      <c r="E7" s="326"/>
      <c r="F7" s="482"/>
      <c r="G7" s="339"/>
      <c r="H7" s="339"/>
      <c r="I7" s="326"/>
      <c r="J7" s="482"/>
      <c r="K7" s="339"/>
      <c r="L7" s="339"/>
      <c r="M7" s="326"/>
      <c r="N7" s="482"/>
      <c r="O7" s="339"/>
      <c r="P7" s="326"/>
      <c r="Q7" s="47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47"/>
      <c r="R8" s="47"/>
      <c r="S8" s="47"/>
      <c r="T8" s="47"/>
    </row>
    <row r="9" spans="1:20" ht="18" customHeight="1">
      <c r="A9" s="279">
        <v>1872</v>
      </c>
      <c r="B9" s="274">
        <v>67473.75</v>
      </c>
      <c r="C9" s="251">
        <v>73748.94</v>
      </c>
      <c r="D9" s="65">
        <v>1.093002</v>
      </c>
      <c r="E9" s="183">
        <v>0.2554585</v>
      </c>
      <c r="F9" s="264">
        <v>126854.8</v>
      </c>
      <c r="G9" s="252">
        <v>252274.7</v>
      </c>
      <c r="H9" s="65">
        <v>4.327791</v>
      </c>
      <c r="I9" s="265">
        <v>1.988689</v>
      </c>
      <c r="J9" s="264">
        <v>47099.61</v>
      </c>
      <c r="K9" s="252">
        <v>12495.22</v>
      </c>
      <c r="L9" s="65">
        <v>1.220506</v>
      </c>
      <c r="M9" s="265">
        <v>0.2652935</v>
      </c>
      <c r="N9" s="272">
        <f>TableB1!E9*'TableB21(3%)'!E9</f>
        <v>0.07277213059613848</v>
      </c>
      <c r="O9" s="54">
        <f aca="true" t="shared" si="0" ref="O9:O15">E9*F9/B9</f>
        <v>0.48027769207728926</v>
      </c>
      <c r="P9" s="239">
        <f aca="true" t="shared" si="1" ref="P9:P15">O9+(1-E9)*K9/B9</f>
        <v>0.6181566426562922</v>
      </c>
      <c r="Q9" s="47"/>
      <c r="R9" s="47"/>
      <c r="S9" s="47"/>
      <c r="T9" s="47"/>
    </row>
    <row r="10" spans="1:20" ht="18" customHeight="1">
      <c r="A10" s="279">
        <v>1882</v>
      </c>
      <c r="B10" s="274">
        <v>80109.26</v>
      </c>
      <c r="C10" s="251">
        <v>85890.11</v>
      </c>
      <c r="D10" s="65">
        <v>1.072162</v>
      </c>
      <c r="E10" s="183">
        <v>0.2788832</v>
      </c>
      <c r="F10" s="264">
        <v>126892.8</v>
      </c>
      <c r="G10" s="252">
        <v>262010.6</v>
      </c>
      <c r="H10" s="65">
        <v>3.946471</v>
      </c>
      <c r="I10" s="265">
        <v>2.064818</v>
      </c>
      <c r="J10" s="264">
        <v>62016.28</v>
      </c>
      <c r="K10" s="252">
        <v>17777.63</v>
      </c>
      <c r="L10" s="65">
        <v>1.341931</v>
      </c>
      <c r="M10" s="265">
        <v>0.2866606</v>
      </c>
      <c r="N10" s="272">
        <f>TableB1!E10*'TableB21(3%)'!E10</f>
        <v>0.07139128575031525</v>
      </c>
      <c r="O10" s="54">
        <f t="shared" si="0"/>
        <v>0.44175005637250925</v>
      </c>
      <c r="P10" s="239">
        <f t="shared" si="1"/>
        <v>0.6017783434542274</v>
      </c>
      <c r="Q10" s="47"/>
      <c r="R10" s="47"/>
      <c r="S10" s="47"/>
      <c r="T10" s="47"/>
    </row>
    <row r="11" spans="1:20" ht="18" customHeight="1">
      <c r="A11" s="279">
        <v>1912</v>
      </c>
      <c r="B11" s="274">
        <v>120704.1</v>
      </c>
      <c r="C11" s="251">
        <v>166459.4</v>
      </c>
      <c r="D11" s="65">
        <v>1.37907</v>
      </c>
      <c r="E11" s="183">
        <v>0.2582619</v>
      </c>
      <c r="F11" s="264">
        <v>276849.3</v>
      </c>
      <c r="G11" s="252">
        <v>592398.1</v>
      </c>
      <c r="H11" s="65">
        <v>6.277643</v>
      </c>
      <c r="I11" s="265">
        <v>2.139786</v>
      </c>
      <c r="J11" s="264">
        <v>66336.67</v>
      </c>
      <c r="K11" s="252">
        <v>18153.98</v>
      </c>
      <c r="L11" s="65">
        <v>1.070335</v>
      </c>
      <c r="M11" s="265">
        <v>0.2736643</v>
      </c>
      <c r="N11" s="272">
        <f>TableB1!E11*'TableB21(3%)'!E11</f>
        <v>0.0722525470522388</v>
      </c>
      <c r="O11" s="54">
        <f t="shared" si="0"/>
        <v>0.5923545781101883</v>
      </c>
      <c r="P11" s="239">
        <f t="shared" si="1"/>
        <v>0.7039125006052651</v>
      </c>
      <c r="Q11" s="47"/>
      <c r="R11" s="47"/>
      <c r="S11" s="47"/>
      <c r="T11" s="47"/>
    </row>
    <row r="12" spans="1:20" ht="18" customHeight="1">
      <c r="A12" s="279">
        <v>1922</v>
      </c>
      <c r="B12" s="274">
        <v>122080.9</v>
      </c>
      <c r="C12" s="251">
        <v>174632.1</v>
      </c>
      <c r="D12" s="65">
        <v>1.430463</v>
      </c>
      <c r="E12" s="183">
        <v>0.3110037</v>
      </c>
      <c r="F12" s="264">
        <v>213756.9</v>
      </c>
      <c r="G12" s="252">
        <v>511437.7</v>
      </c>
      <c r="H12" s="65">
        <v>3.389781</v>
      </c>
      <c r="I12" s="265">
        <v>2.392613</v>
      </c>
      <c r="J12" s="264">
        <v>80699.51</v>
      </c>
      <c r="K12" s="252">
        <v>22602.59</v>
      </c>
      <c r="L12" s="65">
        <v>0.6938406</v>
      </c>
      <c r="M12" s="265">
        <v>0.2800834</v>
      </c>
      <c r="N12" s="272">
        <f>TableB1!E12*'TableB21(3%)'!E12</f>
        <v>0.10078640309781456</v>
      </c>
      <c r="O12" s="54">
        <f t="shared" si="0"/>
        <v>0.5445502679004659</v>
      </c>
      <c r="P12" s="239">
        <f t="shared" si="1"/>
        <v>0.6721140463491585</v>
      </c>
      <c r="Q12" s="47"/>
      <c r="R12" s="47"/>
      <c r="S12" s="47"/>
      <c r="T12" s="47"/>
    </row>
    <row r="13" spans="1:20" ht="18" customHeight="1">
      <c r="A13" s="279">
        <v>1927</v>
      </c>
      <c r="B13" s="274">
        <v>203514.9</v>
      </c>
      <c r="C13" s="251">
        <v>250937.3</v>
      </c>
      <c r="D13" s="65">
        <v>1.233016</v>
      </c>
      <c r="E13" s="183">
        <v>0.2485739</v>
      </c>
      <c r="F13" s="264">
        <v>378734.2</v>
      </c>
      <c r="G13" s="253">
        <v>895824.4</v>
      </c>
      <c r="H13" s="65">
        <v>3.585102</v>
      </c>
      <c r="I13" s="265">
        <v>2.365312</v>
      </c>
      <c r="J13" s="264">
        <v>145551.9</v>
      </c>
      <c r="K13" s="252">
        <v>37606.73</v>
      </c>
      <c r="L13" s="65">
        <v>0.8079841</v>
      </c>
      <c r="M13" s="265">
        <v>0.2583733</v>
      </c>
      <c r="N13" s="272">
        <f>TableB1!E13*'TableB21(3%)'!E13</f>
        <v>0.07770499460649422</v>
      </c>
      <c r="O13" s="54">
        <f t="shared" si="0"/>
        <v>0.46258744277387065</v>
      </c>
      <c r="P13" s="239">
        <f t="shared" si="1"/>
        <v>0.6014405609369782</v>
      </c>
      <c r="Q13" s="47"/>
      <c r="R13" s="47"/>
      <c r="S13" s="47"/>
      <c r="T13" s="47"/>
    </row>
    <row r="14" spans="1:20" ht="18" customHeight="1">
      <c r="A14" s="279">
        <v>1932</v>
      </c>
      <c r="B14" s="274">
        <v>200978.4</v>
      </c>
      <c r="C14" s="251">
        <v>232602.1</v>
      </c>
      <c r="D14" s="65">
        <v>1.157349</v>
      </c>
      <c r="E14" s="183">
        <v>0.2365188</v>
      </c>
      <c r="F14" s="264">
        <v>370398.5</v>
      </c>
      <c r="G14" s="253">
        <v>884121.8</v>
      </c>
      <c r="H14" s="65">
        <v>2.455889</v>
      </c>
      <c r="I14" s="265">
        <v>2.386947</v>
      </c>
      <c r="J14" s="264">
        <v>148493.7</v>
      </c>
      <c r="K14" s="252">
        <v>30767.88</v>
      </c>
      <c r="L14" s="65">
        <v>0.5657202</v>
      </c>
      <c r="M14" s="265">
        <v>0.2071999</v>
      </c>
      <c r="N14" s="272">
        <f>TableB1!E14*'TableB21(3%)'!E14</f>
        <v>0.09020766774704153</v>
      </c>
      <c r="O14" s="54">
        <f t="shared" si="0"/>
        <v>0.4358986276226699</v>
      </c>
      <c r="P14" s="239">
        <f t="shared" si="1"/>
        <v>0.5527803320439212</v>
      </c>
      <c r="Q14" s="47"/>
      <c r="R14" s="47"/>
      <c r="S14" s="47"/>
      <c r="T14" s="47"/>
    </row>
    <row r="15" spans="1:20" ht="18" customHeight="1" thickBot="1">
      <c r="A15" s="280">
        <v>1937</v>
      </c>
      <c r="B15" s="275">
        <v>193635.4</v>
      </c>
      <c r="C15" s="276">
        <v>220922.6</v>
      </c>
      <c r="D15" s="270">
        <v>1.140921</v>
      </c>
      <c r="E15" s="226">
        <v>0.1856088</v>
      </c>
      <c r="F15" s="266">
        <v>495689.2</v>
      </c>
      <c r="G15" s="267">
        <v>1061302</v>
      </c>
      <c r="H15" s="270">
        <v>2.297962</v>
      </c>
      <c r="I15" s="268">
        <v>2.141063</v>
      </c>
      <c r="J15" s="266">
        <v>124794</v>
      </c>
      <c r="K15" s="269">
        <v>29390.77</v>
      </c>
      <c r="L15" s="270">
        <v>0.4217727</v>
      </c>
      <c r="M15" s="268">
        <v>0.2355144</v>
      </c>
      <c r="N15" s="273">
        <f>TableB1!E15*'TableB21(3%)'!E15</f>
        <v>0.07841453825470544</v>
      </c>
      <c r="O15" s="241">
        <f t="shared" si="0"/>
        <v>0.4751418262619335</v>
      </c>
      <c r="P15" s="242">
        <f t="shared" si="1"/>
        <v>0.5987534409213604</v>
      </c>
      <c r="Q15" s="47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66" t="s">
        <v>313</v>
      </c>
      <c r="C17" s="467"/>
      <c r="D17" s="468"/>
      <c r="E17" s="466" t="s">
        <v>314</v>
      </c>
      <c r="F17" s="467"/>
      <c r="G17" s="468"/>
      <c r="H17" s="478" t="s">
        <v>315</v>
      </c>
      <c r="I17" s="467"/>
      <c r="J17" s="468"/>
      <c r="K17" s="466" t="s">
        <v>600</v>
      </c>
      <c r="L17" s="467"/>
      <c r="M17" s="468"/>
      <c r="N17" s="466" t="s">
        <v>601</v>
      </c>
      <c r="O17" s="467"/>
      <c r="P17" s="468"/>
      <c r="Q17" s="69"/>
      <c r="R17" s="69"/>
      <c r="S17" s="69"/>
    </row>
    <row r="18" spans="1:19" ht="15" customHeight="1">
      <c r="A18" s="469"/>
      <c r="B18" s="479" t="s">
        <v>300</v>
      </c>
      <c r="C18" s="437" t="s">
        <v>182</v>
      </c>
      <c r="D18" s="452" t="s">
        <v>181</v>
      </c>
      <c r="E18" s="479" t="s">
        <v>300</v>
      </c>
      <c r="F18" s="437" t="s">
        <v>182</v>
      </c>
      <c r="G18" s="452" t="s">
        <v>181</v>
      </c>
      <c r="H18" s="479" t="s">
        <v>300</v>
      </c>
      <c r="I18" s="437" t="s">
        <v>182</v>
      </c>
      <c r="J18" s="452" t="s">
        <v>181</v>
      </c>
      <c r="K18" s="479" t="s">
        <v>300</v>
      </c>
      <c r="L18" s="437" t="s">
        <v>182</v>
      </c>
      <c r="M18" s="452" t="s">
        <v>181</v>
      </c>
      <c r="N18" s="479" t="s">
        <v>300</v>
      </c>
      <c r="O18" s="437" t="s">
        <v>182</v>
      </c>
      <c r="P18" s="452" t="s">
        <v>181</v>
      </c>
      <c r="Q18" s="123"/>
      <c r="R18" s="263"/>
      <c r="S18" s="123"/>
    </row>
    <row r="19" spans="1:19" ht="15">
      <c r="A19" s="470"/>
      <c r="B19" s="480"/>
      <c r="C19" s="465"/>
      <c r="D19" s="463"/>
      <c r="E19" s="480"/>
      <c r="F19" s="465"/>
      <c r="G19" s="463"/>
      <c r="H19" s="480"/>
      <c r="I19" s="465"/>
      <c r="J19" s="463"/>
      <c r="K19" s="480"/>
      <c r="L19" s="465"/>
      <c r="M19" s="463"/>
      <c r="N19" s="480"/>
      <c r="O19" s="465"/>
      <c r="P19" s="463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0.1847134</v>
      </c>
      <c r="C21" s="22">
        <v>0.394402</v>
      </c>
      <c r="D21" s="183">
        <v>0.5</v>
      </c>
      <c r="E21" s="287">
        <v>0.3111383</v>
      </c>
      <c r="F21" s="22">
        <v>0.4115351</v>
      </c>
      <c r="G21" s="183">
        <v>0.5769355</v>
      </c>
      <c r="H21" s="287">
        <v>0.3725555</v>
      </c>
      <c r="I21" s="22">
        <v>0.5700279</v>
      </c>
      <c r="J21" s="183">
        <v>0.6988266</v>
      </c>
      <c r="K21" s="292">
        <v>0.3914698</v>
      </c>
      <c r="L21" s="49">
        <v>4.353094</v>
      </c>
      <c r="M21" s="200">
        <v>45.65939</v>
      </c>
      <c r="N21" s="292">
        <v>0.1239634</v>
      </c>
      <c r="O21" s="284">
        <v>3.135832</v>
      </c>
      <c r="P21" s="285">
        <v>23.94389</v>
      </c>
      <c r="Q21" s="229"/>
      <c r="R21" s="229"/>
      <c r="S21" s="229"/>
    </row>
    <row r="22" spans="1:19" ht="15">
      <c r="A22" s="279">
        <v>1882</v>
      </c>
      <c r="B22" s="287">
        <v>0.2208678</v>
      </c>
      <c r="C22" s="22">
        <v>0.3656535</v>
      </c>
      <c r="D22" s="183">
        <v>0.5242718</v>
      </c>
      <c r="E22" s="287">
        <v>0.2717827</v>
      </c>
      <c r="F22" s="22">
        <v>0.4034603</v>
      </c>
      <c r="G22" s="183">
        <v>0.4909398</v>
      </c>
      <c r="H22" s="287">
        <v>0.3432845</v>
      </c>
      <c r="I22" s="22">
        <v>0.5588795</v>
      </c>
      <c r="J22" s="183">
        <v>0.6615562</v>
      </c>
      <c r="K22" s="292">
        <v>0.2786876</v>
      </c>
      <c r="L22" s="49">
        <v>3.913496</v>
      </c>
      <c r="M22" s="200">
        <v>40.14111</v>
      </c>
      <c r="N22" s="292">
        <v>0.1105533</v>
      </c>
      <c r="O22" s="284">
        <v>2.578032</v>
      </c>
      <c r="P22" s="285">
        <v>28.16823</v>
      </c>
      <c r="Q22" s="229"/>
      <c r="R22" s="229"/>
      <c r="S22" s="229"/>
    </row>
    <row r="23" spans="1:19" ht="15">
      <c r="A23" s="279">
        <v>1912</v>
      </c>
      <c r="B23" s="287">
        <v>0.1926471</v>
      </c>
      <c r="C23" s="22">
        <v>0.3645917</v>
      </c>
      <c r="D23" s="183">
        <v>0.625</v>
      </c>
      <c r="E23" s="287">
        <v>0.251256</v>
      </c>
      <c r="F23" s="22">
        <v>0.4552118</v>
      </c>
      <c r="G23" s="183">
        <v>0.6858491</v>
      </c>
      <c r="H23" s="287">
        <v>0.3172167</v>
      </c>
      <c r="I23" s="22">
        <v>0.5914266</v>
      </c>
      <c r="J23" s="183">
        <v>0.7850159</v>
      </c>
      <c r="K23" s="292">
        <v>0.1787012</v>
      </c>
      <c r="L23" s="49">
        <v>4.144747</v>
      </c>
      <c r="M23" s="200">
        <v>58.24991</v>
      </c>
      <c r="N23" s="292">
        <v>0.0885055</v>
      </c>
      <c r="O23" s="284">
        <v>1.97688</v>
      </c>
      <c r="P23" s="285">
        <v>31.14438</v>
      </c>
      <c r="Q23" s="229"/>
      <c r="R23" s="229"/>
      <c r="S23" s="229"/>
    </row>
    <row r="24" spans="1:19" ht="15">
      <c r="A24" s="279">
        <v>1922</v>
      </c>
      <c r="B24" s="287">
        <v>0.2479391</v>
      </c>
      <c r="C24" s="22">
        <v>0.4415385</v>
      </c>
      <c r="D24" s="183">
        <v>0.6060606</v>
      </c>
      <c r="E24" s="287">
        <v>0.3189564</v>
      </c>
      <c r="F24" s="22">
        <v>0.5006637</v>
      </c>
      <c r="G24" s="183">
        <v>0.6302031</v>
      </c>
      <c r="H24" s="287">
        <v>0.387422</v>
      </c>
      <c r="I24" s="22">
        <v>0.6338952</v>
      </c>
      <c r="J24" s="183">
        <v>0.757978</v>
      </c>
      <c r="K24" s="292">
        <v>0.2740287</v>
      </c>
      <c r="L24" s="49">
        <v>4.279061</v>
      </c>
      <c r="M24" s="200">
        <v>35.49097</v>
      </c>
      <c r="N24" s="292">
        <v>0.0913879</v>
      </c>
      <c r="O24" s="284">
        <v>1.813701</v>
      </c>
      <c r="P24" s="285">
        <v>16.4887</v>
      </c>
      <c r="Q24" s="229"/>
      <c r="R24" s="229"/>
      <c r="S24" s="229"/>
    </row>
    <row r="25" spans="1:19" ht="15">
      <c r="A25" s="279">
        <v>1927</v>
      </c>
      <c r="B25" s="287">
        <v>0.1705184</v>
      </c>
      <c r="C25" s="22">
        <v>0.3840947</v>
      </c>
      <c r="D25" s="183">
        <v>0.5638298</v>
      </c>
      <c r="E25" s="287">
        <v>0.2016558</v>
      </c>
      <c r="F25" s="22">
        <v>0.4718567</v>
      </c>
      <c r="G25" s="183">
        <v>0.4837236</v>
      </c>
      <c r="H25" s="287">
        <v>0.2614036</v>
      </c>
      <c r="I25" s="22">
        <v>0.5811622</v>
      </c>
      <c r="J25" s="183">
        <v>0.6563447</v>
      </c>
      <c r="K25" s="292">
        <v>0.272143</v>
      </c>
      <c r="L25" s="49">
        <v>4.627208</v>
      </c>
      <c r="M25" s="200">
        <v>33.93213</v>
      </c>
      <c r="N25" s="292">
        <v>0.1095255</v>
      </c>
      <c r="O25" s="284">
        <v>1.702589</v>
      </c>
      <c r="P25" s="285">
        <v>30.16978</v>
      </c>
      <c r="Q25" s="229"/>
      <c r="R25" s="229"/>
      <c r="S25" s="229"/>
    </row>
    <row r="26" spans="1:19" ht="15">
      <c r="A26" s="279">
        <v>1932</v>
      </c>
      <c r="B26" s="287">
        <v>0.1846847</v>
      </c>
      <c r="C26" s="22">
        <v>0.3203791</v>
      </c>
      <c r="D26" s="183">
        <v>0.5416667</v>
      </c>
      <c r="E26" s="287">
        <v>0.2396938</v>
      </c>
      <c r="F26" s="22">
        <v>0.394203</v>
      </c>
      <c r="G26" s="183">
        <v>0.5142305</v>
      </c>
      <c r="H26" s="287">
        <v>0.301964</v>
      </c>
      <c r="I26" s="22">
        <v>0.5082905</v>
      </c>
      <c r="J26" s="183">
        <v>0.6448688</v>
      </c>
      <c r="K26" s="292">
        <v>0.2511917</v>
      </c>
      <c r="L26" s="49">
        <v>3.528315</v>
      </c>
      <c r="M26" s="200">
        <v>26.41862</v>
      </c>
      <c r="N26" s="292">
        <v>0.1029484</v>
      </c>
      <c r="O26" s="284">
        <v>1.493483</v>
      </c>
      <c r="P26" s="285">
        <v>16.0336</v>
      </c>
      <c r="Q26" s="229"/>
      <c r="R26" s="229"/>
      <c r="S26" s="229"/>
    </row>
    <row r="27" spans="1:19" ht="15" thickBot="1">
      <c r="A27" s="280">
        <v>1937</v>
      </c>
      <c r="B27" s="288">
        <v>0.125537</v>
      </c>
      <c r="C27" s="126">
        <v>0.364486</v>
      </c>
      <c r="D27" s="226">
        <v>0.4444444</v>
      </c>
      <c r="E27" s="288">
        <v>0.1824436</v>
      </c>
      <c r="F27" s="126">
        <v>0.4119652</v>
      </c>
      <c r="G27" s="226">
        <v>0.6108809</v>
      </c>
      <c r="H27" s="288">
        <v>0.2579266</v>
      </c>
      <c r="I27" s="126">
        <v>0.5278603</v>
      </c>
      <c r="J27" s="226">
        <v>0.7302948</v>
      </c>
      <c r="K27" s="293">
        <v>0.3387955</v>
      </c>
      <c r="L27" s="294">
        <v>2.794913</v>
      </c>
      <c r="M27" s="295">
        <v>25.94514</v>
      </c>
      <c r="N27" s="293">
        <v>0.0920309</v>
      </c>
      <c r="O27" s="296">
        <v>1.351877</v>
      </c>
      <c r="P27" s="297">
        <v>11.49529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66" t="s">
        <v>567</v>
      </c>
      <c r="C29" s="467"/>
      <c r="D29" s="468"/>
      <c r="E29" s="466" t="s">
        <v>572</v>
      </c>
      <c r="F29" s="471"/>
      <c r="G29" s="472"/>
      <c r="H29" s="466" t="s">
        <v>574</v>
      </c>
      <c r="I29" s="471"/>
      <c r="J29" s="472"/>
      <c r="K29" s="466" t="s">
        <v>573</v>
      </c>
      <c r="L29" s="467"/>
      <c r="M29" s="468"/>
      <c r="N29" s="466" t="s">
        <v>575</v>
      </c>
      <c r="O29" s="467"/>
      <c r="P29" s="46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69"/>
      <c r="B30" s="392" t="s">
        <v>571</v>
      </c>
      <c r="C30" s="437" t="s">
        <v>565</v>
      </c>
      <c r="D30" s="452" t="s">
        <v>566</v>
      </c>
      <c r="E30" s="392" t="s">
        <v>571</v>
      </c>
      <c r="F30" s="437" t="s">
        <v>565</v>
      </c>
      <c r="G30" s="452" t="s">
        <v>566</v>
      </c>
      <c r="H30" s="392" t="s">
        <v>571</v>
      </c>
      <c r="I30" s="437" t="s">
        <v>565</v>
      </c>
      <c r="J30" s="452" t="s">
        <v>566</v>
      </c>
      <c r="K30" s="392" t="s">
        <v>571</v>
      </c>
      <c r="L30" s="437" t="s">
        <v>565</v>
      </c>
      <c r="M30" s="452" t="s">
        <v>566</v>
      </c>
      <c r="N30" s="392" t="s">
        <v>571</v>
      </c>
      <c r="O30" s="437" t="s">
        <v>565</v>
      </c>
      <c r="P30" s="452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70"/>
      <c r="B31" s="464"/>
      <c r="C31" s="465"/>
      <c r="D31" s="463"/>
      <c r="E31" s="464"/>
      <c r="F31" s="465"/>
      <c r="G31" s="463"/>
      <c r="H31" s="464"/>
      <c r="I31" s="465"/>
      <c r="J31" s="463"/>
      <c r="K31" s="464"/>
      <c r="L31" s="465"/>
      <c r="M31" s="463"/>
      <c r="N31" s="464"/>
      <c r="O31" s="465"/>
      <c r="P31" s="463"/>
      <c r="Q31" s="123"/>
      <c r="R31" s="123"/>
      <c r="S31" s="123"/>
      <c r="W31" s="381"/>
      <c r="X31" s="381"/>
      <c r="Y31" s="381"/>
      <c r="Z31" s="381"/>
      <c r="AA31" s="381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0.2565502</v>
      </c>
      <c r="C33" s="22">
        <v>0.4518031</v>
      </c>
      <c r="D33" s="23">
        <v>0.6133271</v>
      </c>
      <c r="E33" s="21">
        <v>0.2503639</v>
      </c>
      <c r="F33" s="22">
        <v>0.4611156</v>
      </c>
      <c r="G33" s="23">
        <v>0.6075922</v>
      </c>
      <c r="H33" s="22">
        <v>0.2485444</v>
      </c>
      <c r="I33" s="22">
        <v>0.441268</v>
      </c>
      <c r="J33" s="23">
        <v>0.5757239</v>
      </c>
      <c r="K33" s="22">
        <v>0.2459971</v>
      </c>
      <c r="L33" s="22">
        <v>0.4679436</v>
      </c>
      <c r="M33" s="23">
        <v>0.6031879</v>
      </c>
      <c r="N33" s="22">
        <v>0.2470888</v>
      </c>
      <c r="O33" s="22">
        <v>0.4432351</v>
      </c>
      <c r="P33" s="183">
        <v>0.5824862</v>
      </c>
      <c r="Q33" s="22"/>
      <c r="R33" s="22"/>
      <c r="S33" s="22"/>
      <c r="W33" s="21">
        <f>TableB1!$E9*'TableB21(3%)'!B33</f>
        <v>0.07308312175506178</v>
      </c>
      <c r="X33" s="21">
        <f>TableB1!$E9*'TableB21(3%)'!E33</f>
        <v>0.07132083852116314</v>
      </c>
      <c r="Y33" s="21">
        <f>TableB1!$E9*'TableB21(3%)'!H33</f>
        <v>0.07080251992295766</v>
      </c>
      <c r="Z33" s="21">
        <f>TableB1!$E9*'TableB21(3%)'!K33</f>
        <v>0.07007687388547</v>
      </c>
      <c r="AA33" s="21">
        <f>TableB1!$E9*'TableB21(3%)'!N33</f>
        <v>0.07038786504439329</v>
      </c>
    </row>
    <row r="34" spans="1:27" ht="15">
      <c r="A34" s="279">
        <v>1882</v>
      </c>
      <c r="B34" s="21">
        <v>0.2796223</v>
      </c>
      <c r="C34" s="22">
        <v>0.4606824</v>
      </c>
      <c r="D34" s="23">
        <v>0.5995522</v>
      </c>
      <c r="E34" s="21">
        <v>0.2746134</v>
      </c>
      <c r="F34" s="22">
        <v>0.4367922</v>
      </c>
      <c r="G34" s="23">
        <v>0.5914019</v>
      </c>
      <c r="H34" s="22">
        <v>0.2659915</v>
      </c>
      <c r="I34" s="22">
        <v>0.4554227</v>
      </c>
      <c r="J34" s="23">
        <v>0.5843955</v>
      </c>
      <c r="K34" s="22">
        <v>0.2681538</v>
      </c>
      <c r="L34" s="22">
        <v>0.437701</v>
      </c>
      <c r="M34" s="23">
        <v>0.5738652</v>
      </c>
      <c r="N34" s="22">
        <v>0.2661557</v>
      </c>
      <c r="O34" s="22">
        <v>0.4229413</v>
      </c>
      <c r="P34" s="183">
        <v>0.5687656</v>
      </c>
      <c r="Q34" s="22"/>
      <c r="R34" s="22"/>
      <c r="S34" s="22"/>
      <c r="W34" s="21">
        <f>TableB1!$E10*'TableB21(3%)'!B34</f>
        <v>0.07158048789407313</v>
      </c>
      <c r="X34" s="21">
        <f>TableB1!$E10*'TableB21(3%)'!E34</f>
        <v>0.07029826002522069</v>
      </c>
      <c r="Y34" s="21">
        <f>TableB1!$E10*'TableB21(3%)'!H34</f>
        <v>0.06809114060529634</v>
      </c>
      <c r="Z34" s="21">
        <f>TableB1!$E10*'TableB21(3%)'!K34</f>
        <v>0.06864466759142497</v>
      </c>
      <c r="AA34" s="21">
        <f>TableB1!$E10*'TableB21(3%)'!N34</f>
        <v>0.06813317414880202</v>
      </c>
    </row>
    <row r="35" spans="1:27" ht="15">
      <c r="A35" s="279">
        <v>1912</v>
      </c>
      <c r="B35" s="21">
        <v>0.2555692</v>
      </c>
      <c r="C35" s="22">
        <v>0.5886701</v>
      </c>
      <c r="D35" s="23">
        <v>0.7017742</v>
      </c>
      <c r="E35" s="21">
        <v>0.250918</v>
      </c>
      <c r="F35" s="22">
        <v>0.5368421</v>
      </c>
      <c r="G35" s="23">
        <v>0.6727828</v>
      </c>
      <c r="H35" s="22">
        <v>0.2470012</v>
      </c>
      <c r="I35" s="22">
        <v>0.5469107</v>
      </c>
      <c r="J35" s="23">
        <v>0.6654497</v>
      </c>
      <c r="K35" s="22">
        <v>0.2443084</v>
      </c>
      <c r="L35" s="22">
        <v>0.5650026</v>
      </c>
      <c r="M35" s="23">
        <v>0.6747649</v>
      </c>
      <c r="N35" s="22">
        <v>0.2391677</v>
      </c>
      <c r="O35" s="22">
        <v>0.4670258</v>
      </c>
      <c r="P35" s="183">
        <v>0.6001084</v>
      </c>
      <c r="Q35" s="22"/>
      <c r="R35" s="22"/>
      <c r="S35" s="22"/>
      <c r="W35" s="21">
        <f>TableB1!$E11*'TableB21(3%)'!B35</f>
        <v>0.07149922481056256</v>
      </c>
      <c r="X35" s="21">
        <f>TableB1!$E11*'TableB21(3%)'!E35</f>
        <v>0.07019798352468426</v>
      </c>
      <c r="Y35" s="21">
        <f>TableB1!$E11*'TableB21(3%)'!H35</f>
        <v>0.0691022013892078</v>
      </c>
      <c r="Z35" s="21">
        <f>TableB1!$E11*'TableB21(3%)'!K35</f>
        <v>0.06834885117106773</v>
      </c>
      <c r="AA35" s="21">
        <f>TableB1!$E11*'TableB21(3%)'!N35</f>
        <v>0.06691066509471871</v>
      </c>
    </row>
    <row r="36" spans="1:27" ht="15">
      <c r="A36" s="279">
        <v>1922</v>
      </c>
      <c r="B36" s="21">
        <v>0.3074896</v>
      </c>
      <c r="C36" s="22">
        <v>0.5403409</v>
      </c>
      <c r="D36" s="23">
        <v>0.6553414</v>
      </c>
      <c r="E36" s="21">
        <v>0.3033165</v>
      </c>
      <c r="F36" s="22">
        <v>0.5365008</v>
      </c>
      <c r="G36" s="23">
        <v>0.6556377</v>
      </c>
      <c r="H36" s="22">
        <v>0.3002416</v>
      </c>
      <c r="I36" s="22">
        <v>0.52484</v>
      </c>
      <c r="J36" s="23">
        <v>0.6345869</v>
      </c>
      <c r="K36" s="22">
        <v>0.3013398</v>
      </c>
      <c r="L36" s="22">
        <v>0.5317984</v>
      </c>
      <c r="M36" s="23">
        <v>0.6341498</v>
      </c>
      <c r="N36" s="22">
        <v>0.290358</v>
      </c>
      <c r="O36" s="22">
        <v>0.463101</v>
      </c>
      <c r="P36" s="183">
        <v>0.5841646</v>
      </c>
      <c r="Q36" s="22"/>
      <c r="R36" s="22"/>
      <c r="S36" s="22"/>
      <c r="W36" s="21">
        <f>TableB1!$E12*'TableB21(3%)'!B36</f>
        <v>0.0996475951057359</v>
      </c>
      <c r="X36" s="21">
        <f>TableB1!$E12*'TableB21(3%)'!E36</f>
        <v>0.09829522618289836</v>
      </c>
      <c r="Y36" s="21">
        <f>TableB1!$E12*'TableB21(3%)'!H36</f>
        <v>0.09729874893556828</v>
      </c>
      <c r="Z36" s="21">
        <f>TableB1!$E12*'TableB21(3%)'!K36</f>
        <v>0.09765464061107575</v>
      </c>
      <c r="AA36" s="21">
        <f>TableB1!$E12*'TableB21(3%)'!N36</f>
        <v>0.09409578866963718</v>
      </c>
    </row>
    <row r="37" spans="1:27" ht="15">
      <c r="A37" s="279">
        <v>1927</v>
      </c>
      <c r="B37" s="21">
        <v>0.2490127</v>
      </c>
      <c r="C37" s="22">
        <v>0.4434202</v>
      </c>
      <c r="D37" s="23">
        <v>0.5909408</v>
      </c>
      <c r="E37" s="21">
        <v>0.2444054</v>
      </c>
      <c r="F37" s="22">
        <v>0.4343143</v>
      </c>
      <c r="G37" s="23">
        <v>0.5955088</v>
      </c>
      <c r="H37" s="22">
        <v>0.2424309</v>
      </c>
      <c r="I37" s="22">
        <v>0.4055238</v>
      </c>
      <c r="J37" s="23">
        <v>0.5533832</v>
      </c>
      <c r="K37" s="22">
        <v>0.2387012</v>
      </c>
      <c r="L37" s="22">
        <v>0.4089582</v>
      </c>
      <c r="M37" s="23">
        <v>0.550514</v>
      </c>
      <c r="N37" s="22">
        <v>0.2371654</v>
      </c>
      <c r="O37" s="22">
        <v>0.4082219</v>
      </c>
      <c r="P37" s="183">
        <v>0.5290861</v>
      </c>
      <c r="Q37" s="22"/>
      <c r="R37" s="22"/>
      <c r="S37" s="22"/>
      <c r="W37" s="21">
        <f>TableB1!$E13*'TableB21(3%)'!B37</f>
        <v>0.07784216488717667</v>
      </c>
      <c r="X37" s="21">
        <f>TableB1!$E13*'TableB21(3%)'!E37</f>
        <v>0.07640190820033022</v>
      </c>
      <c r="Y37" s="21">
        <f>TableB1!$E13*'TableB21(3%)'!H37</f>
        <v>0.07578467319757842</v>
      </c>
      <c r="Z37" s="21">
        <f>TableB1!$E13*'TableB21(3%)'!K37</f>
        <v>0.07461875707209686</v>
      </c>
      <c r="AA37" s="21">
        <f>TableB1!$E13*'TableB21(3%)'!N37</f>
        <v>0.0741386610897083</v>
      </c>
    </row>
    <row r="38" spans="1:27" ht="15">
      <c r="A38" s="279">
        <v>1932</v>
      </c>
      <c r="B38" s="21">
        <v>0.2396419</v>
      </c>
      <c r="C38" s="22">
        <v>0.4366286</v>
      </c>
      <c r="D38" s="23">
        <v>0.557767</v>
      </c>
      <c r="E38" s="21">
        <v>0.2371435</v>
      </c>
      <c r="F38" s="22">
        <v>0.4492661</v>
      </c>
      <c r="G38" s="23">
        <v>0.555406</v>
      </c>
      <c r="H38" s="22">
        <v>0.2375599</v>
      </c>
      <c r="I38" s="22">
        <v>0.3931117</v>
      </c>
      <c r="J38" s="23">
        <v>0.5269003</v>
      </c>
      <c r="K38" s="22">
        <v>0.2338122</v>
      </c>
      <c r="L38" s="22">
        <v>0.4244319</v>
      </c>
      <c r="M38" s="23">
        <v>0.5395864</v>
      </c>
      <c r="N38" s="22">
        <v>0.2331876</v>
      </c>
      <c r="O38" s="22">
        <v>0.3381091</v>
      </c>
      <c r="P38" s="183">
        <v>0.4916162</v>
      </c>
      <c r="Q38" s="22"/>
      <c r="R38" s="22"/>
      <c r="S38" s="22"/>
      <c r="W38" s="21">
        <f>TableB1!$E14*'TableB21(3%)'!B38</f>
        <v>0.09139881013039873</v>
      </c>
      <c r="X38" s="21">
        <f>TableB1!$E14*'TableB21(3%)'!E38</f>
        <v>0.09044592673550916</v>
      </c>
      <c r="Y38" s="21">
        <f>TableB1!$E14*'TableB21(3%)'!H38</f>
        <v>0.09060474063465741</v>
      </c>
      <c r="Z38" s="21">
        <f>TableB1!$E14*'TableB21(3%)'!K38</f>
        <v>0.08917537740257782</v>
      </c>
      <c r="AA38" s="21">
        <f>TableB1!$E14*'TableB21(3%)'!N38</f>
        <v>0.08893715655385542</v>
      </c>
    </row>
    <row r="39" spans="1:27" ht="15" thickBot="1">
      <c r="A39" s="280">
        <v>1937</v>
      </c>
      <c r="B39" s="21">
        <v>0.1841328</v>
      </c>
      <c r="C39" s="22">
        <v>0.475114</v>
      </c>
      <c r="D39" s="23">
        <v>0.5935789</v>
      </c>
      <c r="E39" s="21">
        <v>0.1809963</v>
      </c>
      <c r="F39" s="22">
        <v>0.4582506</v>
      </c>
      <c r="G39" s="23">
        <v>0.5860513</v>
      </c>
      <c r="H39" s="22">
        <v>0.1819188</v>
      </c>
      <c r="I39" s="22">
        <v>0.4663185</v>
      </c>
      <c r="J39" s="23">
        <v>0.580755</v>
      </c>
      <c r="K39" s="22">
        <v>0.1787823</v>
      </c>
      <c r="L39" s="22">
        <v>0.4397632</v>
      </c>
      <c r="M39" s="23">
        <v>0.5472689</v>
      </c>
      <c r="N39" s="22">
        <v>0.1723247</v>
      </c>
      <c r="O39" s="22">
        <v>0.4142654</v>
      </c>
      <c r="P39" s="183">
        <v>0.5121303</v>
      </c>
      <c r="Q39" s="22"/>
      <c r="R39" s="22"/>
      <c r="S39" s="22"/>
      <c r="W39" s="21">
        <f>TableB1!$E15*'TableB21(3%)'!B39</f>
        <v>0.07779096944512345</v>
      </c>
      <c r="X39" s="21">
        <f>TableB1!$E15*'TableB21(3%)'!E39</f>
        <v>0.07646588572476168</v>
      </c>
      <c r="Y39" s="21">
        <f>TableB1!$E15*'TableB21(3%)'!H39</f>
        <v>0.07685561623075042</v>
      </c>
      <c r="Z39" s="21">
        <f>TableB1!$E15*'TableB21(3%)'!K39</f>
        <v>0.07553053251038866</v>
      </c>
      <c r="AA39" s="21">
        <f>TableB1!$E15*'TableB21(3%)'!N39</f>
        <v>0.07280237672125804</v>
      </c>
    </row>
    <row r="40" spans="1:19" ht="15.75" thickBot="1" thickTop="1">
      <c r="A40" s="327" t="s">
        <v>614</v>
      </c>
      <c r="B40" s="328"/>
      <c r="C40" s="328"/>
      <c r="D40" s="328"/>
      <c r="E40" s="328"/>
      <c r="F40" s="328"/>
      <c r="G40" s="328"/>
      <c r="H40" s="328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O5:O7"/>
    <mergeCell ref="B5:E5"/>
    <mergeCell ref="E6:E7"/>
    <mergeCell ref="F5:I5"/>
    <mergeCell ref="J5:M5"/>
    <mergeCell ref="F6:F7"/>
    <mergeCell ref="M6:M7"/>
    <mergeCell ref="J6:J7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F18:F19"/>
    <mergeCell ref="G18:G19"/>
    <mergeCell ref="H18:H19"/>
    <mergeCell ref="M18:M19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B29:D29"/>
    <mergeCell ref="E29:G29"/>
    <mergeCell ref="H29:J29"/>
    <mergeCell ref="K29:M29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A30:AA31"/>
    <mergeCell ref="N30:N31"/>
    <mergeCell ref="O30:O31"/>
    <mergeCell ref="P30:P31"/>
    <mergeCell ref="W30:W31"/>
    <mergeCell ref="A40:P40"/>
    <mergeCell ref="X30:X31"/>
    <mergeCell ref="Y30:Y31"/>
    <mergeCell ref="Z30:Z31"/>
    <mergeCell ref="J30:J31"/>
    <mergeCell ref="K30:K31"/>
    <mergeCell ref="L30:L31"/>
    <mergeCell ref="M30:M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70" t="s">
        <v>615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4"/>
      <c r="P3" s="475"/>
      <c r="Q3" s="180"/>
      <c r="R3" s="180"/>
      <c r="S3" s="180"/>
    </row>
    <row r="4" spans="1:19" ht="18" customHeight="1" thickBot="1">
      <c r="A4" s="221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47"/>
      <c r="P4" s="166"/>
      <c r="Q4" s="47"/>
      <c r="R4" s="47"/>
      <c r="S4" s="47"/>
    </row>
    <row r="5" spans="1:19" ht="18" customHeight="1" thickTop="1">
      <c r="A5" s="277"/>
      <c r="B5" s="484" t="s">
        <v>612</v>
      </c>
      <c r="C5" s="485"/>
      <c r="D5" s="485"/>
      <c r="E5" s="486"/>
      <c r="F5" s="484" t="s">
        <v>322</v>
      </c>
      <c r="G5" s="471"/>
      <c r="H5" s="471"/>
      <c r="I5" s="472"/>
      <c r="J5" s="487" t="s">
        <v>323</v>
      </c>
      <c r="K5" s="372"/>
      <c r="L5" s="372"/>
      <c r="M5" s="373"/>
      <c r="N5" s="481" t="s">
        <v>309</v>
      </c>
      <c r="O5" s="483" t="s">
        <v>310</v>
      </c>
      <c r="P5" s="476" t="s">
        <v>311</v>
      </c>
      <c r="Q5" s="47"/>
      <c r="R5" s="47"/>
      <c r="S5" s="47"/>
    </row>
    <row r="6" spans="1:20" ht="30" customHeight="1">
      <c r="A6" s="469"/>
      <c r="B6" s="479" t="s">
        <v>316</v>
      </c>
      <c r="C6" s="437" t="s">
        <v>317</v>
      </c>
      <c r="D6" s="477" t="s">
        <v>319</v>
      </c>
      <c r="E6" s="452" t="s">
        <v>312</v>
      </c>
      <c r="F6" s="479" t="s">
        <v>316</v>
      </c>
      <c r="G6" s="437" t="s">
        <v>317</v>
      </c>
      <c r="H6" s="437" t="s">
        <v>592</v>
      </c>
      <c r="I6" s="452" t="s">
        <v>318</v>
      </c>
      <c r="J6" s="479" t="s">
        <v>316</v>
      </c>
      <c r="K6" s="437" t="s">
        <v>317</v>
      </c>
      <c r="L6" s="437" t="s">
        <v>602</v>
      </c>
      <c r="M6" s="452" t="s">
        <v>318</v>
      </c>
      <c r="N6" s="482"/>
      <c r="O6" s="339"/>
      <c r="P6" s="326"/>
      <c r="Q6" s="47"/>
      <c r="R6" s="47"/>
      <c r="S6" s="47"/>
      <c r="T6" s="47"/>
    </row>
    <row r="7" spans="1:20" ht="30" customHeight="1">
      <c r="A7" s="470"/>
      <c r="B7" s="480"/>
      <c r="C7" s="465"/>
      <c r="D7" s="465"/>
      <c r="E7" s="326"/>
      <c r="F7" s="482"/>
      <c r="G7" s="339"/>
      <c r="H7" s="339"/>
      <c r="I7" s="326"/>
      <c r="J7" s="482"/>
      <c r="K7" s="339"/>
      <c r="L7" s="339"/>
      <c r="M7" s="326"/>
      <c r="N7" s="482"/>
      <c r="O7" s="339"/>
      <c r="P7" s="326"/>
      <c r="Q7" s="47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47"/>
      <c r="R8" s="47"/>
      <c r="S8" s="47"/>
      <c r="T8" s="47"/>
    </row>
    <row r="9" spans="1:20" ht="18" customHeight="1">
      <c r="A9" s="279">
        <v>1872</v>
      </c>
      <c r="B9" s="274">
        <v>67956.75</v>
      </c>
      <c r="C9" s="251">
        <v>133252.5</v>
      </c>
      <c r="D9" s="65">
        <v>1.960843</v>
      </c>
      <c r="E9" s="183">
        <v>0.2947598</v>
      </c>
      <c r="F9" s="264">
        <v>134079.6</v>
      </c>
      <c r="G9" s="252">
        <v>427986.8</v>
      </c>
      <c r="H9" s="65">
        <v>6.848338</v>
      </c>
      <c r="I9" s="265">
        <v>3.192035</v>
      </c>
      <c r="J9" s="264">
        <v>40320.27</v>
      </c>
      <c r="K9" s="252">
        <v>10066.37</v>
      </c>
      <c r="L9" s="65">
        <v>0.7585794</v>
      </c>
      <c r="M9" s="265">
        <v>0.2496602</v>
      </c>
      <c r="N9" s="272">
        <f>TableB1!E9*'TableB21(5%)'!E9</f>
        <v>0.08396784080424673</v>
      </c>
      <c r="O9" s="54">
        <f aca="true" t="shared" si="0" ref="O9:O15">E9*F9/B9</f>
        <v>0.5815651289986646</v>
      </c>
      <c r="P9" s="239">
        <f aca="true" t="shared" si="1" ref="P9:P15">O9+(1-E9)*K9/B9</f>
        <v>0.6860317021069137</v>
      </c>
      <c r="Q9" s="47"/>
      <c r="R9" s="47"/>
      <c r="S9" s="47"/>
      <c r="T9" s="47"/>
    </row>
    <row r="10" spans="1:20" ht="18" customHeight="1">
      <c r="A10" s="279">
        <v>1882</v>
      </c>
      <c r="B10" s="274">
        <v>81260.05</v>
      </c>
      <c r="C10" s="251">
        <v>156926.1</v>
      </c>
      <c r="D10" s="65">
        <v>1.931159</v>
      </c>
      <c r="E10" s="183">
        <v>0.3364445</v>
      </c>
      <c r="F10" s="264">
        <v>134142.6</v>
      </c>
      <c r="G10" s="252">
        <v>435357.2</v>
      </c>
      <c r="H10" s="65">
        <v>5.891416</v>
      </c>
      <c r="I10" s="265">
        <v>3.245481</v>
      </c>
      <c r="J10" s="264">
        <v>54446.86</v>
      </c>
      <c r="K10" s="252">
        <v>15752.35</v>
      </c>
      <c r="L10" s="65">
        <v>0.8301956</v>
      </c>
      <c r="M10" s="265">
        <v>0.2893161</v>
      </c>
      <c r="N10" s="272">
        <f>TableB1!E10*'TableB21(5%)'!E10</f>
        <v>0.08612639785624211</v>
      </c>
      <c r="O10" s="54">
        <f t="shared" si="0"/>
        <v>0.5553964092527632</v>
      </c>
      <c r="P10" s="239">
        <f t="shared" si="1"/>
        <v>0.6840273721973467</v>
      </c>
      <c r="Q10" s="47"/>
      <c r="R10" s="47"/>
      <c r="S10" s="47"/>
      <c r="T10" s="47"/>
    </row>
    <row r="11" spans="1:20" ht="18" customHeight="1">
      <c r="A11" s="279">
        <v>1912</v>
      </c>
      <c r="B11" s="274">
        <v>124433.4</v>
      </c>
      <c r="C11" s="251">
        <v>307181.1</v>
      </c>
      <c r="D11" s="65">
        <v>2.468638</v>
      </c>
      <c r="E11" s="183">
        <v>0.3135863</v>
      </c>
      <c r="F11" s="264">
        <v>261399.1</v>
      </c>
      <c r="G11" s="252">
        <v>943923.8</v>
      </c>
      <c r="H11" s="65">
        <v>9.1201</v>
      </c>
      <c r="I11" s="265">
        <v>3.611045</v>
      </c>
      <c r="J11" s="264">
        <v>61861.04</v>
      </c>
      <c r="K11" s="252">
        <v>16286.88</v>
      </c>
      <c r="L11" s="65">
        <v>0.7290213</v>
      </c>
      <c r="M11" s="265">
        <v>0.2632817</v>
      </c>
      <c r="N11" s="272">
        <f>TableB1!E11*'TableB21(5%)'!E11</f>
        <v>0.0877303578099885</v>
      </c>
      <c r="O11" s="54">
        <f t="shared" si="0"/>
        <v>0.6587554193032578</v>
      </c>
      <c r="P11" s="239">
        <f t="shared" si="1"/>
        <v>0.7485989626144266</v>
      </c>
      <c r="Q11" s="47"/>
      <c r="R11" s="47"/>
      <c r="S11" s="47"/>
      <c r="T11" s="47"/>
    </row>
    <row r="12" spans="1:20" ht="18" customHeight="1">
      <c r="A12" s="279">
        <v>1922</v>
      </c>
      <c r="B12" s="274">
        <v>128747.2</v>
      </c>
      <c r="C12" s="251">
        <v>320445.1</v>
      </c>
      <c r="D12" s="65">
        <v>2.488948</v>
      </c>
      <c r="E12" s="183">
        <v>0.3575664</v>
      </c>
      <c r="F12" s="264">
        <v>236081.6</v>
      </c>
      <c r="G12" s="252">
        <v>871247.1</v>
      </c>
      <c r="H12" s="65">
        <v>4.530701</v>
      </c>
      <c r="I12" s="265">
        <v>3.69045</v>
      </c>
      <c r="J12" s="264">
        <v>69006.91</v>
      </c>
      <c r="K12" s="252">
        <v>13879</v>
      </c>
      <c r="L12" s="65">
        <v>0.4327191</v>
      </c>
      <c r="M12" s="265">
        <v>0.2011248</v>
      </c>
      <c r="N12" s="272">
        <f>TableB1!E12*'TableB21(5%)'!E12</f>
        <v>0.11587589255251432</v>
      </c>
      <c r="O12" s="54">
        <f t="shared" si="0"/>
        <v>0.6556635625337095</v>
      </c>
      <c r="P12" s="239">
        <f t="shared" si="1"/>
        <v>0.7249181632892987</v>
      </c>
      <c r="Q12" s="47"/>
      <c r="R12" s="47"/>
      <c r="S12" s="47"/>
      <c r="T12" s="47"/>
    </row>
    <row r="13" spans="1:20" ht="18" customHeight="1">
      <c r="A13" s="279">
        <v>1927</v>
      </c>
      <c r="B13" s="274">
        <v>215973.9</v>
      </c>
      <c r="C13" s="251">
        <v>462513.6</v>
      </c>
      <c r="D13" s="65">
        <v>2.141526</v>
      </c>
      <c r="E13" s="183">
        <v>0.2806055</v>
      </c>
      <c r="F13" s="264">
        <v>436068.3</v>
      </c>
      <c r="G13" s="253">
        <v>1572498</v>
      </c>
      <c r="H13" s="65">
        <v>4.811154</v>
      </c>
      <c r="I13" s="265">
        <v>3.606081</v>
      </c>
      <c r="J13" s="264">
        <v>130124.3</v>
      </c>
      <c r="K13" s="252">
        <v>29555.56</v>
      </c>
      <c r="L13" s="65">
        <v>0.5008413</v>
      </c>
      <c r="M13" s="265">
        <v>0.2271332</v>
      </c>
      <c r="N13" s="272">
        <f>TableB1!E13*'TableB21(5%)'!E13</f>
        <v>0.08771817501375895</v>
      </c>
      <c r="O13" s="54">
        <f t="shared" si="0"/>
        <v>0.5665645865340674</v>
      </c>
      <c r="P13" s="239">
        <f t="shared" si="1"/>
        <v>0.6650121642664693</v>
      </c>
      <c r="Q13" s="47"/>
      <c r="R13" s="47"/>
      <c r="S13" s="47"/>
      <c r="T13" s="47"/>
    </row>
    <row r="14" spans="1:20" ht="18" customHeight="1">
      <c r="A14" s="279">
        <v>1932</v>
      </c>
      <c r="B14" s="274">
        <v>208677.4</v>
      </c>
      <c r="C14" s="251">
        <v>424359.2</v>
      </c>
      <c r="D14" s="65">
        <v>2.033566</v>
      </c>
      <c r="E14" s="183">
        <v>0.276702</v>
      </c>
      <c r="F14" s="264">
        <v>379031.8</v>
      </c>
      <c r="G14" s="253">
        <v>1447091</v>
      </c>
      <c r="H14" s="65">
        <v>3.172078</v>
      </c>
      <c r="I14" s="265">
        <v>3.817862</v>
      </c>
      <c r="J14" s="264">
        <v>143507.3</v>
      </c>
      <c r="K14" s="252">
        <v>33106.91</v>
      </c>
      <c r="L14" s="65">
        <v>0.3443913</v>
      </c>
      <c r="M14" s="265">
        <v>0.2306985</v>
      </c>
      <c r="N14" s="272">
        <f>TableB1!E14*'TableB21(5%)'!E14</f>
        <v>0.10553343785332027</v>
      </c>
      <c r="O14" s="54">
        <f t="shared" si="0"/>
        <v>0.5025884792679993</v>
      </c>
      <c r="P14" s="239">
        <f t="shared" si="1"/>
        <v>0.6173405405318448</v>
      </c>
      <c r="Q14" s="47"/>
      <c r="R14" s="47"/>
      <c r="S14" s="47"/>
      <c r="T14" s="47"/>
    </row>
    <row r="15" spans="1:20" ht="18" customHeight="1" thickBot="1">
      <c r="A15" s="280">
        <v>1937</v>
      </c>
      <c r="B15" s="275">
        <v>200752.3</v>
      </c>
      <c r="C15" s="276">
        <v>413795.8</v>
      </c>
      <c r="D15" s="270">
        <v>2.061226</v>
      </c>
      <c r="E15" s="226">
        <v>0.2357934</v>
      </c>
      <c r="F15" s="266">
        <v>484581</v>
      </c>
      <c r="G15" s="267">
        <v>1680138</v>
      </c>
      <c r="H15" s="270">
        <v>3.026996</v>
      </c>
      <c r="I15" s="268">
        <v>3.467196</v>
      </c>
      <c r="J15" s="266">
        <v>113177.8</v>
      </c>
      <c r="K15" s="269">
        <v>23070.3</v>
      </c>
      <c r="L15" s="270">
        <v>0.2715999</v>
      </c>
      <c r="M15" s="268">
        <v>0.2038412</v>
      </c>
      <c r="N15" s="273">
        <f>TableB1!E15*'TableB21(5%)'!E15</f>
        <v>0.09961613126374969</v>
      </c>
      <c r="O15" s="241">
        <f t="shared" si="0"/>
        <v>0.5691640970758491</v>
      </c>
      <c r="P15" s="242">
        <f t="shared" si="1"/>
        <v>0.6569861321109646</v>
      </c>
      <c r="Q15" s="47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66" t="s">
        <v>313</v>
      </c>
      <c r="C17" s="467"/>
      <c r="D17" s="468"/>
      <c r="E17" s="466" t="s">
        <v>314</v>
      </c>
      <c r="F17" s="467"/>
      <c r="G17" s="468"/>
      <c r="H17" s="478" t="s">
        <v>315</v>
      </c>
      <c r="I17" s="467"/>
      <c r="J17" s="468"/>
      <c r="K17" s="466" t="s">
        <v>600</v>
      </c>
      <c r="L17" s="467"/>
      <c r="M17" s="468"/>
      <c r="N17" s="466" t="s">
        <v>601</v>
      </c>
      <c r="O17" s="467"/>
      <c r="P17" s="468"/>
      <c r="Q17" s="69"/>
      <c r="R17" s="69"/>
      <c r="S17" s="69"/>
    </row>
    <row r="18" spans="1:19" ht="15" customHeight="1">
      <c r="A18" s="469"/>
      <c r="B18" s="479" t="s">
        <v>300</v>
      </c>
      <c r="C18" s="437" t="s">
        <v>182</v>
      </c>
      <c r="D18" s="452" t="s">
        <v>181</v>
      </c>
      <c r="E18" s="479" t="s">
        <v>300</v>
      </c>
      <c r="F18" s="437" t="s">
        <v>182</v>
      </c>
      <c r="G18" s="452" t="s">
        <v>181</v>
      </c>
      <c r="H18" s="479" t="s">
        <v>300</v>
      </c>
      <c r="I18" s="437" t="s">
        <v>182</v>
      </c>
      <c r="J18" s="452" t="s">
        <v>181</v>
      </c>
      <c r="K18" s="479" t="s">
        <v>300</v>
      </c>
      <c r="L18" s="437" t="s">
        <v>182</v>
      </c>
      <c r="M18" s="452" t="s">
        <v>181</v>
      </c>
      <c r="N18" s="479" t="s">
        <v>300</v>
      </c>
      <c r="O18" s="437" t="s">
        <v>182</v>
      </c>
      <c r="P18" s="452" t="s">
        <v>181</v>
      </c>
      <c r="Q18" s="123"/>
      <c r="R18" s="263"/>
      <c r="S18" s="123"/>
    </row>
    <row r="19" spans="1:19" ht="15">
      <c r="A19" s="470"/>
      <c r="B19" s="480"/>
      <c r="C19" s="465"/>
      <c r="D19" s="463"/>
      <c r="E19" s="480"/>
      <c r="F19" s="465"/>
      <c r="G19" s="463"/>
      <c r="H19" s="480"/>
      <c r="I19" s="465"/>
      <c r="J19" s="463"/>
      <c r="K19" s="480"/>
      <c r="L19" s="465"/>
      <c r="M19" s="463"/>
      <c r="N19" s="480"/>
      <c r="O19" s="465"/>
      <c r="P19" s="463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0.2059448</v>
      </c>
      <c r="C21" s="22">
        <v>0.4732825</v>
      </c>
      <c r="D21" s="183">
        <v>0.5882353</v>
      </c>
      <c r="E21" s="287">
        <v>0.3478961</v>
      </c>
      <c r="F21" s="22">
        <v>0.5293933</v>
      </c>
      <c r="G21" s="183">
        <v>0.6657484</v>
      </c>
      <c r="H21" s="287">
        <v>0.4073541</v>
      </c>
      <c r="I21" s="22">
        <v>0.6425996</v>
      </c>
      <c r="J21" s="183">
        <v>0.7646835</v>
      </c>
      <c r="K21" s="292">
        <v>0.5638633</v>
      </c>
      <c r="L21" s="49">
        <v>6.666672</v>
      </c>
      <c r="M21" s="200">
        <v>71.20931</v>
      </c>
      <c r="N21" s="292">
        <v>0.0854152</v>
      </c>
      <c r="O21" s="284">
        <v>2.158993</v>
      </c>
      <c r="P21" s="285">
        <v>16.01867</v>
      </c>
      <c r="Q21" s="229"/>
      <c r="R21" s="229"/>
      <c r="S21" s="229"/>
    </row>
    <row r="22" spans="1:19" ht="15">
      <c r="A22" s="279">
        <v>1882</v>
      </c>
      <c r="B22" s="287">
        <v>0.2506606</v>
      </c>
      <c r="C22" s="22">
        <v>0.4706523</v>
      </c>
      <c r="D22" s="183">
        <v>0.6699029</v>
      </c>
      <c r="E22" s="287">
        <v>0.3271651</v>
      </c>
      <c r="F22" s="22">
        <v>0.5119459</v>
      </c>
      <c r="G22" s="183">
        <v>0.6131767</v>
      </c>
      <c r="H22" s="287">
        <v>0.3784979</v>
      </c>
      <c r="I22" s="22">
        <v>0.6349595</v>
      </c>
      <c r="J22" s="183">
        <v>0.7525005</v>
      </c>
      <c r="K22" s="292">
        <v>0.3843786</v>
      </c>
      <c r="L22" s="49">
        <v>5.548454</v>
      </c>
      <c r="M22" s="200">
        <v>56.47666</v>
      </c>
      <c r="N22" s="292">
        <v>0.0771609</v>
      </c>
      <c r="O22" s="284">
        <v>1.843594</v>
      </c>
      <c r="P22" s="285">
        <v>20.9255</v>
      </c>
      <c r="Q22" s="229"/>
      <c r="R22" s="229"/>
      <c r="S22" s="229"/>
    </row>
    <row r="23" spans="1:19" ht="15">
      <c r="A23" s="279">
        <v>1912</v>
      </c>
      <c r="B23" s="287">
        <v>0.2367647</v>
      </c>
      <c r="C23" s="22">
        <v>0.4454325</v>
      </c>
      <c r="D23" s="183">
        <v>0.671875</v>
      </c>
      <c r="E23" s="287">
        <v>0.302362</v>
      </c>
      <c r="F23" s="22">
        <v>0.5494402</v>
      </c>
      <c r="G23" s="183">
        <v>0.7351236</v>
      </c>
      <c r="H23" s="287">
        <v>0.3520727</v>
      </c>
      <c r="I23" s="22">
        <v>0.6581246</v>
      </c>
      <c r="J23" s="183">
        <v>0.8158484</v>
      </c>
      <c r="K23" s="292">
        <v>0.240266</v>
      </c>
      <c r="L23" s="49">
        <v>6.001695</v>
      </c>
      <c r="M23" s="200">
        <v>95.59515</v>
      </c>
      <c r="N23" s="292">
        <v>0.0637952</v>
      </c>
      <c r="O23" s="284">
        <v>1.381523</v>
      </c>
      <c r="P23" s="285">
        <v>22.95267</v>
      </c>
      <c r="Q23" s="229"/>
      <c r="R23" s="229"/>
      <c r="S23" s="229"/>
    </row>
    <row r="24" spans="1:19" ht="15">
      <c r="A24" s="279">
        <v>1922</v>
      </c>
      <c r="B24" s="287">
        <v>0.2821814</v>
      </c>
      <c r="C24" s="22">
        <v>0.5161539</v>
      </c>
      <c r="D24" s="183">
        <v>0.6767676</v>
      </c>
      <c r="E24" s="287">
        <v>0.3590389</v>
      </c>
      <c r="F24" s="22">
        <v>0.6078533</v>
      </c>
      <c r="G24" s="183">
        <v>0.7549443</v>
      </c>
      <c r="H24" s="287">
        <v>0.4177439</v>
      </c>
      <c r="I24" s="22">
        <v>0.6978008</v>
      </c>
      <c r="J24" s="183">
        <v>0.7984366</v>
      </c>
      <c r="K24" s="292">
        <v>0.3444306</v>
      </c>
      <c r="L24" s="49">
        <v>5.540224</v>
      </c>
      <c r="M24" s="200">
        <v>50.02906</v>
      </c>
      <c r="N24" s="292">
        <v>0.0608311</v>
      </c>
      <c r="O24" s="284">
        <v>1.218335</v>
      </c>
      <c r="P24" s="285">
        <v>11.30153</v>
      </c>
      <c r="Q24" s="229"/>
      <c r="R24" s="229"/>
      <c r="S24" s="229"/>
    </row>
    <row r="25" spans="1:19" ht="15">
      <c r="A25" s="279">
        <v>1927</v>
      </c>
      <c r="B25" s="287">
        <v>0.196752</v>
      </c>
      <c r="C25" s="22">
        <v>0.4323181</v>
      </c>
      <c r="D25" s="183">
        <v>0.6170213</v>
      </c>
      <c r="E25" s="287">
        <v>0.2360757</v>
      </c>
      <c r="F25" s="22">
        <v>0.5355759</v>
      </c>
      <c r="G25" s="183">
        <v>0.6270914</v>
      </c>
      <c r="H25" s="287">
        <v>0.2944488</v>
      </c>
      <c r="I25" s="22">
        <v>0.6255026</v>
      </c>
      <c r="J25" s="183">
        <v>0.7368872</v>
      </c>
      <c r="K25" s="292">
        <v>0.3310722</v>
      </c>
      <c r="L25" s="49">
        <v>5.9842</v>
      </c>
      <c r="M25" s="200">
        <v>49.49566</v>
      </c>
      <c r="N25" s="292">
        <v>0.0701178</v>
      </c>
      <c r="O25" s="284">
        <v>1.119456</v>
      </c>
      <c r="P25" s="285">
        <v>19.74334</v>
      </c>
      <c r="Q25" s="229"/>
      <c r="R25" s="229"/>
      <c r="S25" s="229"/>
    </row>
    <row r="26" spans="1:19" ht="15">
      <c r="A26" s="279">
        <v>1932</v>
      </c>
      <c r="B26" s="287">
        <v>0.2207207</v>
      </c>
      <c r="C26" s="22">
        <v>0.378199</v>
      </c>
      <c r="D26" s="183">
        <v>0.5833333</v>
      </c>
      <c r="E26" s="287">
        <v>0.2879419</v>
      </c>
      <c r="F26" s="22">
        <v>0.4703686</v>
      </c>
      <c r="G26" s="183">
        <v>0.5738715</v>
      </c>
      <c r="H26" s="287">
        <v>0.3345937</v>
      </c>
      <c r="I26" s="22">
        <v>0.5602863</v>
      </c>
      <c r="J26" s="183">
        <v>0.7265775</v>
      </c>
      <c r="K26" s="292">
        <v>0.3074619</v>
      </c>
      <c r="L26" s="49">
        <v>4.496091</v>
      </c>
      <c r="M26" s="200">
        <v>37.69893</v>
      </c>
      <c r="N26" s="292">
        <v>0.0670135</v>
      </c>
      <c r="O26" s="284">
        <v>0.9968985</v>
      </c>
      <c r="P26" s="285">
        <v>8.923111</v>
      </c>
      <c r="Q26" s="229"/>
      <c r="R26" s="229"/>
      <c r="S26" s="229"/>
    </row>
    <row r="27" spans="1:19" ht="15" thickBot="1">
      <c r="A27" s="280">
        <v>1937</v>
      </c>
      <c r="B27" s="288">
        <v>0.1704057</v>
      </c>
      <c r="C27" s="126">
        <v>0.4224299</v>
      </c>
      <c r="D27" s="226">
        <v>0.5777778</v>
      </c>
      <c r="E27" s="288">
        <v>0.2394342</v>
      </c>
      <c r="F27" s="126">
        <v>0.4784444</v>
      </c>
      <c r="G27" s="226">
        <v>0.701671</v>
      </c>
      <c r="H27" s="288">
        <v>0.2962691</v>
      </c>
      <c r="I27" s="126">
        <v>0.5893201</v>
      </c>
      <c r="J27" s="226">
        <v>0.7783064</v>
      </c>
      <c r="K27" s="293">
        <v>0.3617999</v>
      </c>
      <c r="L27" s="294">
        <v>3.761034</v>
      </c>
      <c r="M27" s="295">
        <v>36.59837</v>
      </c>
      <c r="N27" s="293">
        <v>0.0628982</v>
      </c>
      <c r="O27" s="296">
        <v>0.9227176</v>
      </c>
      <c r="P27" s="297">
        <v>8.833092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66" t="s">
        <v>567</v>
      </c>
      <c r="C29" s="467"/>
      <c r="D29" s="468"/>
      <c r="E29" s="466" t="s">
        <v>572</v>
      </c>
      <c r="F29" s="471"/>
      <c r="G29" s="472"/>
      <c r="H29" s="466" t="s">
        <v>574</v>
      </c>
      <c r="I29" s="471"/>
      <c r="J29" s="472"/>
      <c r="K29" s="466" t="s">
        <v>573</v>
      </c>
      <c r="L29" s="467"/>
      <c r="M29" s="468"/>
      <c r="N29" s="466" t="s">
        <v>575</v>
      </c>
      <c r="O29" s="467"/>
      <c r="P29" s="46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69"/>
      <c r="B30" s="392" t="s">
        <v>571</v>
      </c>
      <c r="C30" s="437" t="s">
        <v>565</v>
      </c>
      <c r="D30" s="452" t="s">
        <v>566</v>
      </c>
      <c r="E30" s="392" t="s">
        <v>571</v>
      </c>
      <c r="F30" s="437" t="s">
        <v>565</v>
      </c>
      <c r="G30" s="452" t="s">
        <v>566</v>
      </c>
      <c r="H30" s="392" t="s">
        <v>571</v>
      </c>
      <c r="I30" s="437" t="s">
        <v>565</v>
      </c>
      <c r="J30" s="452" t="s">
        <v>566</v>
      </c>
      <c r="K30" s="392" t="s">
        <v>571</v>
      </c>
      <c r="L30" s="437" t="s">
        <v>565</v>
      </c>
      <c r="M30" s="452" t="s">
        <v>566</v>
      </c>
      <c r="N30" s="392" t="s">
        <v>571</v>
      </c>
      <c r="O30" s="437" t="s">
        <v>565</v>
      </c>
      <c r="P30" s="452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70"/>
      <c r="B31" s="464"/>
      <c r="C31" s="465"/>
      <c r="D31" s="463"/>
      <c r="E31" s="464"/>
      <c r="F31" s="465"/>
      <c r="G31" s="463"/>
      <c r="H31" s="464"/>
      <c r="I31" s="465"/>
      <c r="J31" s="463"/>
      <c r="K31" s="464"/>
      <c r="L31" s="465"/>
      <c r="M31" s="463"/>
      <c r="N31" s="464"/>
      <c r="O31" s="465"/>
      <c r="P31" s="463"/>
      <c r="Q31" s="123"/>
      <c r="R31" s="123"/>
      <c r="S31" s="123"/>
      <c r="W31" s="381"/>
      <c r="X31" s="381"/>
      <c r="Y31" s="381"/>
      <c r="Z31" s="381"/>
      <c r="AA31" s="381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0.2998544</v>
      </c>
      <c r="C33" s="22">
        <v>0.5731873</v>
      </c>
      <c r="D33" s="23">
        <v>0.682974</v>
      </c>
      <c r="E33" s="21">
        <v>0.2965793</v>
      </c>
      <c r="F33" s="22">
        <v>0.5535237</v>
      </c>
      <c r="G33" s="23">
        <v>0.6685544</v>
      </c>
      <c r="H33" s="22">
        <v>0.2914847</v>
      </c>
      <c r="I33" s="22">
        <v>0.5560008</v>
      </c>
      <c r="J33" s="23">
        <v>0.661595</v>
      </c>
      <c r="K33" s="22">
        <v>0.2907569</v>
      </c>
      <c r="L33" s="22">
        <v>0.5518045</v>
      </c>
      <c r="M33" s="23">
        <v>0.6526588</v>
      </c>
      <c r="N33" s="22">
        <v>0.2860262</v>
      </c>
      <c r="O33" s="22">
        <v>0.4938848</v>
      </c>
      <c r="P33" s="183">
        <v>0.5987598</v>
      </c>
      <c r="Q33" s="22"/>
      <c r="R33" s="22"/>
      <c r="S33" s="22"/>
      <c r="W33" s="21">
        <f>TableB1!$E9*'TableB21(5%)'!B33</f>
        <v>0.08541913287922206</v>
      </c>
      <c r="X33" s="21">
        <f>TableB1!$E9*'TableB21(5%)'!E33</f>
        <v>0.08448615940245219</v>
      </c>
      <c r="Y33" s="21">
        <f>TableB1!$E9*'TableB21(5%)'!H33</f>
        <v>0.08303486732747685</v>
      </c>
      <c r="Z33" s="21">
        <f>TableB1!$E9*'TableB21(5%)'!K33</f>
        <v>0.08282753988819466</v>
      </c>
      <c r="AA33" s="21">
        <f>TableB1!$E9*'TableB21(5%)'!N33</f>
        <v>0.08147991153286042</v>
      </c>
    </row>
    <row r="34" spans="1:27" ht="15">
      <c r="A34" s="279">
        <v>1882</v>
      </c>
      <c r="B34" s="21">
        <v>0.3352402</v>
      </c>
      <c r="C34" s="22">
        <v>0.5586439</v>
      </c>
      <c r="D34" s="23">
        <v>0.6777776</v>
      </c>
      <c r="E34" s="21">
        <v>0.3302313</v>
      </c>
      <c r="F34" s="22">
        <v>0.5477848</v>
      </c>
      <c r="G34" s="23">
        <v>0.6641675</v>
      </c>
      <c r="H34" s="22">
        <v>0.3288627</v>
      </c>
      <c r="I34" s="22">
        <v>0.5296544</v>
      </c>
      <c r="J34" s="23">
        <v>0.6552346</v>
      </c>
      <c r="K34" s="22">
        <v>0.3263172</v>
      </c>
      <c r="L34" s="22">
        <v>0.5306717</v>
      </c>
      <c r="M34" s="23">
        <v>0.649699</v>
      </c>
      <c r="N34" s="22">
        <v>0.317668</v>
      </c>
      <c r="O34" s="22">
        <v>0.4922274</v>
      </c>
      <c r="P34" s="183">
        <v>0.615911</v>
      </c>
      <c r="Q34" s="22"/>
      <c r="R34" s="22"/>
      <c r="S34" s="22"/>
      <c r="W34" s="21">
        <f>TableB1!$E10*'TableB21(5%)'!B34</f>
        <v>0.08581810920554855</v>
      </c>
      <c r="X34" s="21">
        <f>TableB1!$E10*'TableB21(5%)'!E34</f>
        <v>0.0845358813366961</v>
      </c>
      <c r="Y34" s="21">
        <f>TableB1!$E10*'TableB21(5%)'!H34</f>
        <v>0.08418553354350568</v>
      </c>
      <c r="Z34" s="21">
        <f>TableB1!$E10*'TableB21(5%)'!K34</f>
        <v>0.08353391122320301</v>
      </c>
      <c r="AA34" s="21">
        <f>TableB1!$E10*'TableB21(5%)'!N34</f>
        <v>0.08131980327868853</v>
      </c>
    </row>
    <row r="35" spans="1:27" ht="15">
      <c r="A35" s="279">
        <v>1912</v>
      </c>
      <c r="B35" s="21">
        <v>0.3111383</v>
      </c>
      <c r="C35" s="22">
        <v>0.659776</v>
      </c>
      <c r="D35" s="23">
        <v>0.7458137</v>
      </c>
      <c r="E35" s="21">
        <v>0.3086903</v>
      </c>
      <c r="F35" s="22">
        <v>0.6448043</v>
      </c>
      <c r="G35" s="23">
        <v>0.7375285</v>
      </c>
      <c r="H35" s="22">
        <v>0.3077111</v>
      </c>
      <c r="I35" s="22">
        <v>0.6367574</v>
      </c>
      <c r="J35" s="23">
        <v>0.728133</v>
      </c>
      <c r="K35" s="22">
        <v>0.3025704</v>
      </c>
      <c r="L35" s="22">
        <v>0.6079818</v>
      </c>
      <c r="M35" s="23">
        <v>0.7235298</v>
      </c>
      <c r="N35" s="22">
        <v>0.2962056</v>
      </c>
      <c r="O35" s="22">
        <v>0.628195</v>
      </c>
      <c r="P35" s="183">
        <v>0.7068459</v>
      </c>
      <c r="Q35" s="22"/>
      <c r="R35" s="22"/>
      <c r="S35" s="22"/>
      <c r="W35" s="21">
        <f>TableB1!$E11*'TableB21(5%)'!B35</f>
        <v>0.08704549397531572</v>
      </c>
      <c r="X35" s="21">
        <f>TableB1!$E11*'TableB21(5%)'!E35</f>
        <v>0.08636063014064292</v>
      </c>
      <c r="Y35" s="21">
        <f>TableB1!$E11*'TableB21(5%)'!H35</f>
        <v>0.08608668460677382</v>
      </c>
      <c r="Z35" s="21">
        <f>TableB1!$E11*'TableB21(5%)'!K35</f>
        <v>0.0846484985304248</v>
      </c>
      <c r="AA35" s="21">
        <f>TableB1!$E11*'TableB21(5%)'!N35</f>
        <v>0.08286785256027554</v>
      </c>
    </row>
    <row r="36" spans="1:27" ht="15">
      <c r="A36" s="279">
        <v>1922</v>
      </c>
      <c r="B36" s="21">
        <v>0.3593235</v>
      </c>
      <c r="C36" s="22">
        <v>0.5987272</v>
      </c>
      <c r="D36" s="23">
        <v>0.6949872</v>
      </c>
      <c r="E36" s="21">
        <v>0.3555897</v>
      </c>
      <c r="F36" s="22">
        <v>0.5860893</v>
      </c>
      <c r="G36" s="23">
        <v>0.692419</v>
      </c>
      <c r="H36" s="22">
        <v>0.3509774</v>
      </c>
      <c r="I36" s="22">
        <v>0.576629</v>
      </c>
      <c r="J36" s="23">
        <v>0.6700142</v>
      </c>
      <c r="K36" s="22">
        <v>0.3540523</v>
      </c>
      <c r="L36" s="22">
        <v>0.5708881</v>
      </c>
      <c r="M36" s="23">
        <v>0.6851785</v>
      </c>
      <c r="N36" s="22">
        <v>0.3395563</v>
      </c>
      <c r="O36" s="22">
        <v>0.5201194</v>
      </c>
      <c r="P36" s="183">
        <v>0.6157309</v>
      </c>
      <c r="Q36" s="22"/>
      <c r="R36" s="22"/>
      <c r="S36" s="22"/>
      <c r="W36" s="21">
        <f>TableB1!$E12*'TableB21(5%)'!B36</f>
        <v>0.11644531275196267</v>
      </c>
      <c r="X36" s="21">
        <f>TableB1!$E12*'TableB21(5%)'!E36</f>
        <v>0.1152353069806917</v>
      </c>
      <c r="Y36" s="21">
        <f>TableB1!$E12*'TableB21(5%)'!H36</f>
        <v>0.11374060731310559</v>
      </c>
      <c r="Z36" s="21">
        <f>TableB1!$E12*'TableB21(5%)'!K36</f>
        <v>0.11473708456043567</v>
      </c>
      <c r="AA36" s="21">
        <f>TableB1!$E12*'TableB21(5%)'!N36</f>
        <v>0.11003939222010042</v>
      </c>
    </row>
    <row r="37" spans="1:27" ht="15">
      <c r="A37" s="279">
        <v>1927</v>
      </c>
      <c r="B37" s="21">
        <v>0.2827995</v>
      </c>
      <c r="C37" s="22">
        <v>0.5256467</v>
      </c>
      <c r="D37" s="23">
        <v>0.6470529</v>
      </c>
      <c r="E37" s="21">
        <v>0.2817025</v>
      </c>
      <c r="F37" s="22">
        <v>0.5157654</v>
      </c>
      <c r="G37" s="23">
        <v>0.6318367</v>
      </c>
      <c r="H37" s="22">
        <v>0.278631</v>
      </c>
      <c r="I37" s="22">
        <v>0.5212998</v>
      </c>
      <c r="J37" s="23">
        <v>0.6207221</v>
      </c>
      <c r="K37" s="22">
        <v>0.2773146</v>
      </c>
      <c r="L37" s="22">
        <v>0.5273039</v>
      </c>
      <c r="M37" s="23">
        <v>0.6340676</v>
      </c>
      <c r="N37" s="22">
        <v>0.2707328</v>
      </c>
      <c r="O37" s="22">
        <v>0.4736618</v>
      </c>
      <c r="P37" s="183">
        <v>0.5750736</v>
      </c>
      <c r="Q37" s="22"/>
      <c r="R37" s="22"/>
      <c r="S37" s="22"/>
      <c r="W37" s="21">
        <f>TableB1!$E13*'TableB21(5%)'!B37</f>
        <v>0.08840402641717116</v>
      </c>
      <c r="X37" s="21">
        <f>TableB1!$E13*'TableB21(5%)'!E37</f>
        <v>0.08806110071546507</v>
      </c>
      <c r="Y37" s="21">
        <f>TableB1!$E13*'TableB21(5%)'!H37</f>
        <v>0.08710094001100716</v>
      </c>
      <c r="Z37" s="21">
        <f>TableB1!$E13*'TableB21(5%)'!K37</f>
        <v>0.08668942916895983</v>
      </c>
      <c r="AA37" s="21">
        <f>TableB1!$E13*'TableB21(5%)'!N37</f>
        <v>0.08463193747936158</v>
      </c>
    </row>
    <row r="38" spans="1:27" ht="15">
      <c r="A38" s="279">
        <v>1932</v>
      </c>
      <c r="B38" s="21">
        <v>0.2777431</v>
      </c>
      <c r="C38" s="22">
        <v>0.5223747</v>
      </c>
      <c r="D38" s="23">
        <v>0.6190466</v>
      </c>
      <c r="E38" s="21">
        <v>0.2752447</v>
      </c>
      <c r="F38" s="22">
        <v>0.5105997</v>
      </c>
      <c r="G38" s="23">
        <v>0.6050967</v>
      </c>
      <c r="H38" s="22">
        <v>0.2769103</v>
      </c>
      <c r="I38" s="22">
        <v>0.5193127</v>
      </c>
      <c r="J38" s="23">
        <v>0.6053055</v>
      </c>
      <c r="K38" s="22">
        <v>0.2739954</v>
      </c>
      <c r="L38" s="22">
        <v>0.4962814</v>
      </c>
      <c r="M38" s="23">
        <v>0.5966455</v>
      </c>
      <c r="N38" s="22">
        <v>0.262336</v>
      </c>
      <c r="O38" s="22">
        <v>0.4506433</v>
      </c>
      <c r="P38" s="183">
        <v>0.5557492</v>
      </c>
      <c r="Q38" s="22"/>
      <c r="R38" s="22"/>
      <c r="S38" s="22"/>
      <c r="W38" s="21">
        <f>TableB1!$E14*'TableB21(5%)'!B38</f>
        <v>0.10593051074093617</v>
      </c>
      <c r="X38" s="21">
        <f>TableB1!$E14*'TableB21(5%)'!E38</f>
        <v>0.10497762734604658</v>
      </c>
      <c r="Y38" s="21">
        <f>TableB1!$E14*'TableB21(5%)'!H38</f>
        <v>0.10561288294263964</v>
      </c>
      <c r="Z38" s="21">
        <f>TableB1!$E14*'TableB21(5%)'!K38</f>
        <v>0.10450114750885656</v>
      </c>
      <c r="AA38" s="21">
        <f>TableB1!$E14*'TableB21(5%)'!N38</f>
        <v>0.10005428205321475</v>
      </c>
    </row>
    <row r="39" spans="1:27" ht="15" thickBot="1">
      <c r="A39" s="280">
        <v>1937</v>
      </c>
      <c r="B39" s="21">
        <v>0.2295203</v>
      </c>
      <c r="C39" s="22">
        <v>0.5330262</v>
      </c>
      <c r="D39" s="23">
        <v>0.650878</v>
      </c>
      <c r="E39" s="21">
        <v>0.2282288</v>
      </c>
      <c r="F39" s="22">
        <v>0.5378778</v>
      </c>
      <c r="G39" s="23">
        <v>0.6474369</v>
      </c>
      <c r="H39" s="22">
        <v>0.2269373</v>
      </c>
      <c r="I39" s="22">
        <v>0.5281739</v>
      </c>
      <c r="J39" s="23">
        <v>0.6369629</v>
      </c>
      <c r="K39" s="22">
        <v>0.2241697</v>
      </c>
      <c r="L39" s="22">
        <v>0.4903138</v>
      </c>
      <c r="M39" s="23">
        <v>0.6194069</v>
      </c>
      <c r="N39" s="22">
        <v>0.2238007</v>
      </c>
      <c r="O39" s="22">
        <v>0.5134153</v>
      </c>
      <c r="P39" s="183">
        <v>0.6090481</v>
      </c>
      <c r="Q39" s="22"/>
      <c r="R39" s="22"/>
      <c r="S39" s="22"/>
      <c r="W39" s="21">
        <f>TableB1!$E15*'TableB21(5%)'!B39</f>
        <v>0.09696592157581684</v>
      </c>
      <c r="X39" s="21">
        <f>TableB1!$E15*'TableB21(5%)'!E39</f>
        <v>0.09642029886743259</v>
      </c>
      <c r="Y39" s="21">
        <f>TableB1!$E15*'TableB21(5%)'!H39</f>
        <v>0.09587467615904832</v>
      </c>
      <c r="Z39" s="21">
        <f>TableB1!$E15*'TableB21(5%)'!K39</f>
        <v>0.09470544239387273</v>
      </c>
      <c r="AA39" s="21">
        <f>TableB1!$E15*'TableB21(5%)'!N39</f>
        <v>0.09454955019147722</v>
      </c>
    </row>
    <row r="40" spans="1:19" ht="15.75" thickBot="1" thickTop="1">
      <c r="A40" s="327" t="s">
        <v>614</v>
      </c>
      <c r="B40" s="328"/>
      <c r="C40" s="328"/>
      <c r="D40" s="328"/>
      <c r="E40" s="328"/>
      <c r="F40" s="328"/>
      <c r="G40" s="328"/>
      <c r="H40" s="328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A40:P40"/>
    <mergeCell ref="X30:X31"/>
    <mergeCell ref="Y30:Y31"/>
    <mergeCell ref="Z30:Z31"/>
    <mergeCell ref="J30:J31"/>
    <mergeCell ref="K30:K31"/>
    <mergeCell ref="L30:L31"/>
    <mergeCell ref="M30:M31"/>
    <mergeCell ref="AA30:AA31"/>
    <mergeCell ref="N30:N31"/>
    <mergeCell ref="O30:O31"/>
    <mergeCell ref="P30:P31"/>
    <mergeCell ref="W30:W31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B29:D29"/>
    <mergeCell ref="E29:G29"/>
    <mergeCell ref="H29:J29"/>
    <mergeCell ref="K29:M2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F18:F19"/>
    <mergeCell ref="G18:G19"/>
    <mergeCell ref="H18:H19"/>
    <mergeCell ref="M18:M19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O5:O7"/>
    <mergeCell ref="B5:E5"/>
    <mergeCell ref="E6:E7"/>
    <mergeCell ref="F5:I5"/>
    <mergeCell ref="J5:M5"/>
    <mergeCell ref="F6:F7"/>
    <mergeCell ref="M6:M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A3" sqref="A3:M17"/>
    </sheetView>
  </sheetViews>
  <sheetFormatPr defaultColWidth="11.5546875" defaultRowHeight="15"/>
  <cols>
    <col min="1" max="1" width="7.77734375" style="0" customWidth="1"/>
    <col min="2" max="8" width="6.77734375" style="0" customWidth="1"/>
    <col min="9" max="11" width="8.77734375" style="0" customWidth="1"/>
    <col min="12" max="13" width="7.77734375" style="0" customWidth="1"/>
    <col min="14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" customHeight="1" thickTop="1">
      <c r="A3" s="346" t="s">
        <v>272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22"/>
      <c r="N3" s="3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49"/>
    </row>
    <row r="5" spans="1:14" ht="34.5" customHeight="1">
      <c r="A5" s="128"/>
      <c r="B5" s="352" t="s">
        <v>6</v>
      </c>
      <c r="C5" s="353"/>
      <c r="D5" s="353"/>
      <c r="E5" s="354"/>
      <c r="F5" s="350" t="s">
        <v>268</v>
      </c>
      <c r="G5" s="351"/>
      <c r="H5" s="351"/>
      <c r="I5" s="358" t="s">
        <v>269</v>
      </c>
      <c r="J5" s="351"/>
      <c r="K5" s="359"/>
      <c r="L5" s="358" t="s">
        <v>10</v>
      </c>
      <c r="M5" s="362"/>
      <c r="N5" s="9"/>
    </row>
    <row r="6" spans="1:14" ht="34.5" customHeight="1">
      <c r="A6" s="128"/>
      <c r="B6" s="355"/>
      <c r="C6" s="356"/>
      <c r="D6" s="356"/>
      <c r="E6" s="357"/>
      <c r="F6" s="339"/>
      <c r="G6" s="339"/>
      <c r="H6" s="339"/>
      <c r="I6" s="360"/>
      <c r="J6" s="339"/>
      <c r="K6" s="361"/>
      <c r="L6" s="360"/>
      <c r="M6" s="326"/>
      <c r="N6" s="9"/>
    </row>
    <row r="7" spans="1:14" ht="39.75" customHeight="1">
      <c r="A7" s="181"/>
      <c r="B7" s="17" t="s">
        <v>0</v>
      </c>
      <c r="C7" s="16" t="s">
        <v>266</v>
      </c>
      <c r="D7" s="16" t="s">
        <v>267</v>
      </c>
      <c r="E7" s="71" t="s">
        <v>94</v>
      </c>
      <c r="F7" s="16" t="s">
        <v>8</v>
      </c>
      <c r="G7" s="16" t="s">
        <v>9</v>
      </c>
      <c r="H7" s="16" t="s">
        <v>7</v>
      </c>
      <c r="I7" s="17" t="s">
        <v>8</v>
      </c>
      <c r="J7" s="16" t="s">
        <v>9</v>
      </c>
      <c r="K7" s="18" t="s">
        <v>7</v>
      </c>
      <c r="L7" s="17" t="s">
        <v>266</v>
      </c>
      <c r="M7" s="182" t="s">
        <v>0</v>
      </c>
      <c r="N7" s="9"/>
    </row>
    <row r="8" spans="1:15" ht="1.5" customHeight="1">
      <c r="A8" s="130"/>
      <c r="B8" s="19" t="s">
        <v>190</v>
      </c>
      <c r="C8" s="6" t="s">
        <v>191</v>
      </c>
      <c r="D8" s="27"/>
      <c r="E8" s="20"/>
      <c r="F8" s="6"/>
      <c r="G8" s="6"/>
      <c r="H8" s="6"/>
      <c r="I8" s="19" t="s">
        <v>193</v>
      </c>
      <c r="J8" s="6" t="s">
        <v>194</v>
      </c>
      <c r="K8" s="20"/>
      <c r="L8" s="31"/>
      <c r="M8" s="131"/>
      <c r="N8" s="14"/>
      <c r="O8" s="14"/>
    </row>
    <row r="9" spans="1:15" ht="18" customHeight="1">
      <c r="A9" s="132">
        <v>1872</v>
      </c>
      <c r="B9" s="21">
        <v>0.4869169</v>
      </c>
      <c r="C9" s="22">
        <v>0.4439314</v>
      </c>
      <c r="D9" s="22">
        <f>(B9-C9*TableB1!E9)/(1-TableB1!E9)</f>
        <v>0.5040399422387177</v>
      </c>
      <c r="E9" s="72">
        <v>0.4980842923205808</v>
      </c>
      <c r="F9" s="22">
        <f aca="true" t="shared" si="0" ref="F9:F15">(1-$C9)*$H9/(1-$B9)</f>
        <v>0.3087346645238375</v>
      </c>
      <c r="G9" s="22">
        <f>$C9*$H9/$B9</f>
        <v>0.2597202119185792</v>
      </c>
      <c r="H9" s="22">
        <f>TableB1!E9</f>
        <v>0.2848686992060882</v>
      </c>
      <c r="I9" s="29">
        <v>91382.59</v>
      </c>
      <c r="J9" s="30">
        <v>83920.97</v>
      </c>
      <c r="K9" s="28">
        <f>TableB1!F9</f>
        <v>88070.14</v>
      </c>
      <c r="L9" s="21">
        <f aca="true" t="shared" si="1" ref="L9:L15">I9/J9</f>
        <v>1.0889124613311785</v>
      </c>
      <c r="M9" s="183">
        <f aca="true" t="shared" si="2" ref="M9:M15">(F9*I9)/(G9*J9)</f>
        <v>1.294412248324746</v>
      </c>
      <c r="N9" s="14"/>
      <c r="O9" s="14"/>
    </row>
    <row r="10" spans="1:15" ht="18" customHeight="1">
      <c r="A10" s="132">
        <v>1882</v>
      </c>
      <c r="B10" s="21">
        <v>0.4482661</v>
      </c>
      <c r="C10" s="22">
        <v>0.4463054</v>
      </c>
      <c r="D10" s="22">
        <f>(B10-C10*TableB1!E10)/(1-TableB1!E10)</f>
        <v>0.44894071372881356</v>
      </c>
      <c r="E10" s="72">
        <v>0.4980842923205808</v>
      </c>
      <c r="F10" s="22">
        <f t="shared" si="0"/>
        <v>0.25689962457999777</v>
      </c>
      <c r="G10" s="22">
        <f>$C10*$H10/$B10</f>
        <v>0.2548702209459039</v>
      </c>
      <c r="H10" s="22">
        <f>TableB1!E10</f>
        <v>0.25598991172761665</v>
      </c>
      <c r="I10" s="29">
        <v>101273.3</v>
      </c>
      <c r="J10" s="30">
        <v>95202.49</v>
      </c>
      <c r="K10" s="28">
        <f>TableB1!F10</f>
        <v>98563.86</v>
      </c>
      <c r="L10" s="21">
        <f>I10/J10</f>
        <v>1.063767344740668</v>
      </c>
      <c r="M10" s="183">
        <f>(F10*I10)/(G10*J10)</f>
        <v>1.072237590135501</v>
      </c>
      <c r="N10" s="14"/>
      <c r="O10" s="14"/>
    </row>
    <row r="11" spans="1:15" ht="21.75" customHeight="1">
      <c r="A11" s="132">
        <v>1912</v>
      </c>
      <c r="B11" s="21">
        <v>0.4862227</v>
      </c>
      <c r="C11" s="22">
        <v>0.4438289</v>
      </c>
      <c r="D11" s="22">
        <f>(B11-C11*TableB1!E11)/(1-TableB1!E11)</f>
        <v>0.5026899366237596</v>
      </c>
      <c r="E11" s="72">
        <v>0.48029025904007283</v>
      </c>
      <c r="F11" s="22">
        <f t="shared" si="0"/>
        <v>0.3028491267527815</v>
      </c>
      <c r="G11" s="22">
        <f>$C11*$H11/$B11</f>
        <v>0.2553719349103324</v>
      </c>
      <c r="H11" s="22">
        <f>TableB1!E11</f>
        <v>0.2797646383467279</v>
      </c>
      <c r="I11" s="29">
        <v>122522.4</v>
      </c>
      <c r="J11" s="30">
        <v>147362.8</v>
      </c>
      <c r="K11" s="28">
        <f>TableB1!F11</f>
        <v>133547.2</v>
      </c>
      <c r="L11" s="21">
        <f t="shared" si="1"/>
        <v>0.8314337132573486</v>
      </c>
      <c r="M11" s="183">
        <f t="shared" si="2"/>
        <v>0.9860087957638085</v>
      </c>
      <c r="N11" s="15"/>
      <c r="O11" s="15"/>
    </row>
    <row r="12" spans="1:15" ht="21.75" customHeight="1">
      <c r="A12" s="132">
        <v>1922</v>
      </c>
      <c r="B12" s="21">
        <v>0.5323219</v>
      </c>
      <c r="C12" s="22">
        <v>0.4406373</v>
      </c>
      <c r="D12" s="22">
        <f>(B12-C12*TableB1!E12)/(1-TableB1!E12)</f>
        <v>0.5762790871089254</v>
      </c>
      <c r="E12" s="72">
        <v>0.4983320178398279</v>
      </c>
      <c r="F12" s="22">
        <f t="shared" si="0"/>
        <v>0.3875991889865697</v>
      </c>
      <c r="G12" s="22">
        <f>C12*H12/B12</f>
        <v>0.26825221345201977</v>
      </c>
      <c r="H12" s="22">
        <f>TableB1!E12</f>
        <v>0.32406818021076456</v>
      </c>
      <c r="I12" s="29">
        <v>164610.3</v>
      </c>
      <c r="J12" s="30">
        <v>168377.3</v>
      </c>
      <c r="K12" s="28">
        <f>TableB1!F12</f>
        <v>166270.2</v>
      </c>
      <c r="L12" s="21">
        <f t="shared" si="1"/>
        <v>0.9776276255766069</v>
      </c>
      <c r="M12" s="183">
        <f t="shared" si="2"/>
        <v>1.4125798625409463</v>
      </c>
      <c r="N12" s="15"/>
      <c r="O12" s="15"/>
    </row>
    <row r="13" spans="1:15" ht="21.75" customHeight="1">
      <c r="A13" s="132">
        <v>1927</v>
      </c>
      <c r="B13" s="21">
        <v>0.5071385</v>
      </c>
      <c r="C13" s="22">
        <v>0.4490472</v>
      </c>
      <c r="D13" s="22">
        <f>(B13-C13*TableB1!E13)/(1-TableB1!E13)</f>
        <v>0.5335563209767815</v>
      </c>
      <c r="E13" s="72">
        <v>0.4947809715687377</v>
      </c>
      <c r="F13" s="22">
        <f t="shared" si="0"/>
        <v>0.3494482810334662</v>
      </c>
      <c r="G13" s="22">
        <f>C13*H13/B13</f>
        <v>0.2767953687449739</v>
      </c>
      <c r="H13" s="22">
        <f>TableB1!E13</f>
        <v>0.31260319207484866</v>
      </c>
      <c r="I13" s="29">
        <v>254606</v>
      </c>
      <c r="J13" s="30">
        <v>261796</v>
      </c>
      <c r="K13" s="28">
        <f>TableB1!F13</f>
        <v>257834.6</v>
      </c>
      <c r="L13" s="21">
        <f t="shared" si="1"/>
        <v>0.972535867622118</v>
      </c>
      <c r="M13" s="183">
        <f t="shared" si="2"/>
        <v>1.2278059012506901</v>
      </c>
      <c r="N13" s="15"/>
      <c r="O13" s="15"/>
    </row>
    <row r="14" spans="1:15" ht="21.75" customHeight="1">
      <c r="A14" s="132">
        <v>1932</v>
      </c>
      <c r="B14" s="21">
        <v>0.4956659</v>
      </c>
      <c r="C14" s="22">
        <v>0.4637352</v>
      </c>
      <c r="D14" s="22">
        <f>(B14-C14*TableB1!E14)/(1-TableB1!E14)</f>
        <v>0.5153526725112709</v>
      </c>
      <c r="E14" s="72">
        <v>0.48822015269650393</v>
      </c>
      <c r="F14" s="22">
        <f t="shared" si="0"/>
        <v>0.40554471429107497</v>
      </c>
      <c r="G14" s="22">
        <f>C14*H14/B14</f>
        <v>0.35682790329851627</v>
      </c>
      <c r="H14" s="22">
        <f>TableB1!E14</f>
        <v>0.38139745232531846</v>
      </c>
      <c r="I14" s="29">
        <v>295122.8</v>
      </c>
      <c r="J14" s="30">
        <v>247716.4</v>
      </c>
      <c r="K14" s="28">
        <f>TableB1!F14</f>
        <v>273138.8</v>
      </c>
      <c r="L14" s="21">
        <f t="shared" si="1"/>
        <v>1.1913736837770934</v>
      </c>
      <c r="M14" s="183">
        <f t="shared" si="2"/>
        <v>1.3540289190811607</v>
      </c>
      <c r="N14" s="15"/>
      <c r="O14" s="15"/>
    </row>
    <row r="15" spans="1:15" ht="21.75" customHeight="1">
      <c r="A15" s="132">
        <v>1937</v>
      </c>
      <c r="B15" s="21">
        <v>0.497963</v>
      </c>
      <c r="C15" s="22">
        <v>0.4494696</v>
      </c>
      <c r="D15" s="22">
        <f>(B15-C15*TableB1!E15)/(1-TableB1!E15)</f>
        <v>0.5334367978273138</v>
      </c>
      <c r="E15" s="72">
        <v>0.4791754683092386</v>
      </c>
      <c r="F15" s="22">
        <f t="shared" si="0"/>
        <v>0.46328005797431043</v>
      </c>
      <c r="G15" s="22">
        <f>C15*H15/B15</f>
        <v>0.38133026499457695</v>
      </c>
      <c r="H15" s="22">
        <f>TableB1!E15</f>
        <v>0.4224720932127434</v>
      </c>
      <c r="I15" s="29">
        <v>218154.2</v>
      </c>
      <c r="J15" s="30">
        <v>222298.9</v>
      </c>
      <c r="K15" s="28">
        <f>TableB1!F15</f>
        <v>220017.1</v>
      </c>
      <c r="L15" s="21">
        <f t="shared" si="1"/>
        <v>0.9813552833594769</v>
      </c>
      <c r="M15" s="183">
        <f t="shared" si="2"/>
        <v>1.1922534723925988</v>
      </c>
      <c r="N15" s="15"/>
      <c r="O15" s="15"/>
    </row>
    <row r="16" spans="1:13" ht="4.5" customHeight="1" thickBot="1">
      <c r="A16" s="186"/>
      <c r="B16" s="187"/>
      <c r="C16" s="188"/>
      <c r="D16" s="188"/>
      <c r="E16" s="189"/>
      <c r="F16" s="188"/>
      <c r="G16" s="188"/>
      <c r="H16" s="188"/>
      <c r="I16" s="187"/>
      <c r="J16" s="188"/>
      <c r="K16" s="189"/>
      <c r="L16" s="187"/>
      <c r="M16" s="190"/>
    </row>
    <row r="17" spans="1:13" ht="18" customHeight="1" thickBot="1" thickTop="1">
      <c r="A17" s="327" t="s">
        <v>451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13"/>
    </row>
    <row r="18" spans="2:3" ht="15" thickTop="1">
      <c r="B18" s="13"/>
      <c r="C18" s="13"/>
    </row>
    <row r="19" spans="2:3" ht="15">
      <c r="B19" s="13"/>
      <c r="C19" s="13"/>
    </row>
    <row r="20" spans="2:3" ht="15">
      <c r="B20" s="13"/>
      <c r="C20" s="13"/>
    </row>
    <row r="21" spans="2:3" ht="15">
      <c r="B21" s="13"/>
      <c r="C21" s="13"/>
    </row>
    <row r="22" spans="2:3" ht="15">
      <c r="B22" s="13"/>
      <c r="C22" s="13"/>
    </row>
  </sheetData>
  <mergeCells count="7">
    <mergeCell ref="A17:M17"/>
    <mergeCell ref="A3:M3"/>
    <mergeCell ref="B4:M4"/>
    <mergeCell ref="F5:H6"/>
    <mergeCell ref="B5:E6"/>
    <mergeCell ref="I5:K6"/>
    <mergeCell ref="L5:M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3" sqref="A3:M30"/>
    </sheetView>
  </sheetViews>
  <sheetFormatPr defaultColWidth="11.5546875" defaultRowHeight="15"/>
  <cols>
    <col min="1" max="13" width="7.77734375" style="0" customWidth="1"/>
    <col min="14" max="28" width="10.77734375" style="0" customWidth="1"/>
    <col min="29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8" customHeight="1" thickTop="1">
      <c r="A3" s="370" t="s">
        <v>273</v>
      </c>
      <c r="B3" s="371"/>
      <c r="C3" s="371"/>
      <c r="D3" s="371"/>
      <c r="E3" s="371"/>
      <c r="F3" s="371"/>
      <c r="G3" s="371"/>
      <c r="H3" s="371"/>
      <c r="I3" s="371"/>
      <c r="J3" s="371"/>
      <c r="K3" s="372"/>
      <c r="L3" s="372"/>
      <c r="M3" s="373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47"/>
      <c r="L4" s="47"/>
      <c r="M4" s="166"/>
    </row>
    <row r="5" spans="1:13" ht="34.5" customHeight="1">
      <c r="A5" s="128"/>
      <c r="B5" s="358" t="s">
        <v>12</v>
      </c>
      <c r="C5" s="351"/>
      <c r="D5" s="359"/>
      <c r="E5" s="350" t="s">
        <v>11</v>
      </c>
      <c r="F5" s="351"/>
      <c r="G5" s="351"/>
      <c r="H5" s="358" t="s">
        <v>13</v>
      </c>
      <c r="I5" s="351"/>
      <c r="J5" s="359"/>
      <c r="K5" s="358" t="s">
        <v>14</v>
      </c>
      <c r="L5" s="351"/>
      <c r="M5" s="362"/>
    </row>
    <row r="6" spans="1:13" ht="18" customHeight="1">
      <c r="A6" s="128"/>
      <c r="B6" s="360"/>
      <c r="C6" s="339"/>
      <c r="D6" s="361"/>
      <c r="E6" s="339"/>
      <c r="F6" s="339"/>
      <c r="G6" s="339"/>
      <c r="H6" s="360"/>
      <c r="I6" s="339"/>
      <c r="J6" s="361"/>
      <c r="K6" s="360"/>
      <c r="L6" s="339"/>
      <c r="M6" s="326"/>
    </row>
    <row r="7" spans="1:13" ht="34.5" customHeight="1">
      <c r="A7" s="181"/>
      <c r="B7" s="17" t="s">
        <v>0</v>
      </c>
      <c r="C7" s="16" t="s">
        <v>101</v>
      </c>
      <c r="D7" s="16" t="s">
        <v>192</v>
      </c>
      <c r="E7" s="17" t="s">
        <v>0</v>
      </c>
      <c r="F7" s="16" t="s">
        <v>101</v>
      </c>
      <c r="G7" s="16" t="s">
        <v>192</v>
      </c>
      <c r="H7" s="17" t="s">
        <v>0</v>
      </c>
      <c r="I7" s="16" t="s">
        <v>101</v>
      </c>
      <c r="J7" s="16" t="s">
        <v>192</v>
      </c>
      <c r="K7" s="17" t="s">
        <v>8</v>
      </c>
      <c r="L7" s="16" t="s">
        <v>9</v>
      </c>
      <c r="M7" s="182" t="s">
        <v>15</v>
      </c>
    </row>
    <row r="8" spans="1:13" ht="1.5" customHeight="1">
      <c r="A8" s="130"/>
      <c r="B8" s="19" t="s">
        <v>195</v>
      </c>
      <c r="C8" s="6" t="s">
        <v>196</v>
      </c>
      <c r="D8" s="20"/>
      <c r="E8" s="6" t="s">
        <v>195</v>
      </c>
      <c r="F8" s="6" t="s">
        <v>196</v>
      </c>
      <c r="G8" s="6"/>
      <c r="H8" s="31"/>
      <c r="I8" s="12"/>
      <c r="J8" s="32"/>
      <c r="K8" s="38"/>
      <c r="L8" s="39"/>
      <c r="M8" s="166"/>
    </row>
    <row r="9" spans="1:13" ht="18" customHeight="1">
      <c r="A9" s="132">
        <v>1872</v>
      </c>
      <c r="B9" s="33">
        <v>49.25034</v>
      </c>
      <c r="C9" s="37">
        <v>56.42638</v>
      </c>
      <c r="D9" s="34">
        <f>(B9-TableB3!$F9*TableB4!C9)/(1-TableB3!$F9)</f>
        <v>46.04535894813871</v>
      </c>
      <c r="E9" s="37">
        <v>49.870991</v>
      </c>
      <c r="F9" s="37">
        <v>55.3225</v>
      </c>
      <c r="G9" s="37">
        <f>(E9-TableB3!$G9*TableB4!F9)/(1-TableB3!$G9)</f>
        <v>47.958380260720546</v>
      </c>
      <c r="H9" s="33">
        <f>(1-TableB3!B9)*TableB4!B9+TableB3!B9*TableB4!E9</f>
        <v>49.5525454609019</v>
      </c>
      <c r="I9" s="37">
        <f>(1-TableB3!C9)*TableB4!C9+TableB3!C9*TableB4!F9</f>
        <v>55.936333006168</v>
      </c>
      <c r="J9" s="37">
        <f>(1-TableB3!D9)*TableB4!D9+TableB3!D9*TableB4!G9</f>
        <v>47.0095981000339</v>
      </c>
      <c r="K9" s="40">
        <v>58.1667</v>
      </c>
      <c r="L9" s="41">
        <v>60.5419</v>
      </c>
      <c r="M9" s="191">
        <v>59.34975</v>
      </c>
    </row>
    <row r="10" spans="1:13" ht="18" customHeight="1">
      <c r="A10" s="132">
        <v>1882</v>
      </c>
      <c r="B10" s="33">
        <v>48.181423</v>
      </c>
      <c r="C10" s="37">
        <v>56.16064</v>
      </c>
      <c r="D10" s="34">
        <f>(B10-TableB3!$F10*TableB4!C10)/(1-TableB3!$F10)</f>
        <v>45.42290218700249</v>
      </c>
      <c r="E10" s="37">
        <v>50.976463</v>
      </c>
      <c r="F10" s="37">
        <v>56.91024</v>
      </c>
      <c r="G10" s="37">
        <f>(E10-TableB3!$G10*TableB4!F10)/(1-TableB3!$G10)</f>
        <v>48.9468258850352</v>
      </c>
      <c r="H10" s="33">
        <f>(1-TableB3!B10)*TableB4!B10+TableB3!B10*TableB4!E10</f>
        <v>49.434344680144</v>
      </c>
      <c r="I10" s="37">
        <f>(1-TableB3!C10)*TableB4!C10+TableB3!C10*TableB4!F10</f>
        <v>56.49519052784001</v>
      </c>
      <c r="J10" s="37">
        <f>(1-TableB3!D10)*TableB4!D10+TableB3!D10*TableB4!G10</f>
        <v>47.00493500712318</v>
      </c>
      <c r="K10" s="40">
        <v>58.76859</v>
      </c>
      <c r="L10" s="41">
        <v>61.34333</v>
      </c>
      <c r="M10" s="191">
        <v>60.0415</v>
      </c>
    </row>
    <row r="11" spans="1:13" ht="21.75" customHeight="1">
      <c r="A11" s="132">
        <v>1912</v>
      </c>
      <c r="B11" s="33">
        <v>52.220287</v>
      </c>
      <c r="C11" s="37">
        <v>55.70285</v>
      </c>
      <c r="D11" s="34">
        <f>(B11-TableB3!$F11*TableB4!C11)/(1-TableB3!$F11)</f>
        <v>50.70742772679998</v>
      </c>
      <c r="E11" s="37">
        <v>56.224777</v>
      </c>
      <c r="F11" s="37">
        <v>59.14199</v>
      </c>
      <c r="G11" s="37">
        <f>(E11-TableB3!$G11*TableB4!F11)/(1-TableB3!$G11)</f>
        <v>55.22431198493793</v>
      </c>
      <c r="H11" s="33">
        <f>(1-TableB3!B11)*TableB4!B11+TableB3!B11*TableB4!E11</f>
        <v>54.167360939923</v>
      </c>
      <c r="I11" s="37">
        <f>(1-TableB3!C11)*TableB4!C11+TableB3!C11*TableB4!F11</f>
        <v>57.229239723146</v>
      </c>
      <c r="J11" s="37">
        <f>(1-TableB3!D11)*TableB4!D11+TableB3!D11*TableB4!G11</f>
        <v>52.9780199882602</v>
      </c>
      <c r="K11" s="40">
        <v>59.45512</v>
      </c>
      <c r="L11" s="41">
        <v>62.31305</v>
      </c>
      <c r="M11" s="191">
        <v>60.82775</v>
      </c>
    </row>
    <row r="12" spans="1:13" ht="21.75" customHeight="1">
      <c r="A12" s="132">
        <v>1922</v>
      </c>
      <c r="B12" s="33">
        <v>55.026215</v>
      </c>
      <c r="C12" s="37">
        <v>58.58923</v>
      </c>
      <c r="D12" s="34">
        <f>(B12-TableB3!$F12*TableB4!C12)/(1-TableB3!$F12)</f>
        <v>52.77112046140591</v>
      </c>
      <c r="E12" s="37">
        <v>57.550236</v>
      </c>
      <c r="F12" s="37">
        <v>60.73267</v>
      </c>
      <c r="G12" s="37">
        <f>(E12-TableB3!$G12*TableB4!F12)/(1-TableB3!$G12)</f>
        <v>56.38358407380522</v>
      </c>
      <c r="H12" s="33">
        <f>(1-TableB3!B12)*TableB4!B12+TableB3!B12*TableB4!E12</f>
        <v>56.3698066543599</v>
      </c>
      <c r="I12" s="37">
        <f>(1-TableB3!C12)*TableB4!C12+TableB3!C12*TableB4!F12</f>
        <v>59.533709614312</v>
      </c>
      <c r="J12" s="37">
        <f>(1-TableB3!D12)*TableB4!D12+TableB3!D12*TableB4!G12</f>
        <v>54.852907694173595</v>
      </c>
      <c r="K12" s="40">
        <v>61.3926</v>
      </c>
      <c r="L12" s="41">
        <v>63.6077</v>
      </c>
      <c r="M12" s="191">
        <v>62.49646</v>
      </c>
    </row>
    <row r="13" spans="1:13" ht="21.75" customHeight="1">
      <c r="A13" s="132">
        <v>1927</v>
      </c>
      <c r="B13" s="33">
        <v>54.940075</v>
      </c>
      <c r="C13" s="37">
        <v>58.59893</v>
      </c>
      <c r="D13" s="34">
        <f>(B13-TableB3!$F13*TableB4!C13)/(1-TableB3!$F13)</f>
        <v>52.97469614844327</v>
      </c>
      <c r="E13" s="37">
        <v>59.842827</v>
      </c>
      <c r="F13" s="37">
        <v>60.69748</v>
      </c>
      <c r="G13" s="37">
        <f>(E13-TableB3!$G13*TableB4!F13)/(1-TableB3!$G13)</f>
        <v>59.515721804512694</v>
      </c>
      <c r="H13" s="33">
        <f>(1-TableB3!B13)*TableB4!B13+TableB3!B13*TableB4!E13</f>
        <v>57.426449295152</v>
      </c>
      <c r="I13" s="37">
        <f>(1-TableB3!C13)*TableB4!C13+TableB3!C13*TableB4!F13</f>
        <v>59.54127800156</v>
      </c>
      <c r="J13" s="37">
        <f>(1-TableB3!D13)*TableB4!D13+TableB3!D13*TableB4!G13</f>
        <v>56.46470173291041</v>
      </c>
      <c r="K13" s="40">
        <v>61.37801</v>
      </c>
      <c r="L13" s="41">
        <v>64.08675</v>
      </c>
      <c r="M13" s="191">
        <v>62.71824</v>
      </c>
    </row>
    <row r="14" spans="1:13" ht="21.75" customHeight="1">
      <c r="A14" s="132">
        <v>1932</v>
      </c>
      <c r="B14" s="33">
        <v>55.056358</v>
      </c>
      <c r="C14" s="37">
        <v>59.41109</v>
      </c>
      <c r="D14" s="34">
        <f>(B14-TableB3!$F14*TableB4!C14)/(1-TableB3!$F14)</f>
        <v>52.08550621819089</v>
      </c>
      <c r="E14" s="37">
        <v>60.164074</v>
      </c>
      <c r="F14" s="37">
        <v>61.50848</v>
      </c>
      <c r="G14" s="37">
        <f>(E14-TableB3!$G14*TableB4!F14)/(1-TableB3!$G14)</f>
        <v>59.41820586202852</v>
      </c>
      <c r="H14" s="33">
        <f>(1-TableB3!B14)*TableB4!B14+TableB3!B14*TableB4!E14</f>
        <v>57.588078648084405</v>
      </c>
      <c r="I14" s="37">
        <f>(1-TableB3!C14)*TableB4!C14+TableB3!C14*TableB4!F14</f>
        <v>60.383723571128</v>
      </c>
      <c r="J14" s="37">
        <f>(1-TableB3!D14)*TableB4!D14+TableB3!D14*TableB4!G14</f>
        <v>55.86443257636506</v>
      </c>
      <c r="K14" s="40">
        <v>61.43544</v>
      </c>
      <c r="L14" s="41">
        <v>64.72752</v>
      </c>
      <c r="M14" s="191">
        <v>63.0427</v>
      </c>
    </row>
    <row r="15" spans="1:13" ht="21.75" customHeight="1">
      <c r="A15" s="192">
        <v>1937</v>
      </c>
      <c r="B15" s="84">
        <v>56.815197</v>
      </c>
      <c r="C15" s="85">
        <v>60.47725</v>
      </c>
      <c r="D15" s="86">
        <f>(B15-TableB3!$F15*TableB4!C15)/(1-TableB3!$F15)</f>
        <v>53.65422608518388</v>
      </c>
      <c r="E15" s="85">
        <v>62.252308</v>
      </c>
      <c r="F15" s="85">
        <v>63.38773</v>
      </c>
      <c r="G15" s="85">
        <f>(E15-TableB3!$G15*TableB4!F15)/(1-TableB3!$G15)</f>
        <v>61.552466472861326</v>
      </c>
      <c r="H15" s="84">
        <f>(1-TableB3!B15)*TableB4!B15+TableB3!B15*TableB4!E15</f>
        <v>59.522677104893006</v>
      </c>
      <c r="I15" s="85">
        <f>(1-TableB3!C15)*TableB4!C15+TableB3!C15*TableB4!F15</f>
        <v>61.785422281408</v>
      </c>
      <c r="J15" s="85">
        <f>(1-TableB3!D15)*TableB4!D15+TableB3!D15*TableB4!G15</f>
        <v>57.8674381460569</v>
      </c>
      <c r="K15" s="87">
        <v>61.92843</v>
      </c>
      <c r="L15" s="88">
        <v>65.79079</v>
      </c>
      <c r="M15" s="193">
        <v>63.77918</v>
      </c>
    </row>
    <row r="16" spans="1:13" ht="3.75" customHeight="1">
      <c r="A16" s="19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66"/>
    </row>
    <row r="17" spans="1:13" ht="15" customHeight="1">
      <c r="A17" s="195"/>
      <c r="B17" s="363" t="s">
        <v>335</v>
      </c>
      <c r="C17" s="364"/>
      <c r="D17" s="365"/>
      <c r="E17" s="369" t="s">
        <v>336</v>
      </c>
      <c r="F17" s="364"/>
      <c r="G17" s="364"/>
      <c r="H17" s="363" t="s">
        <v>337</v>
      </c>
      <c r="I17" s="364"/>
      <c r="J17" s="365"/>
      <c r="K17" s="47"/>
      <c r="L17" s="47"/>
      <c r="M17" s="166"/>
    </row>
    <row r="18" spans="1:13" ht="15">
      <c r="A18" s="195"/>
      <c r="B18" s="366"/>
      <c r="C18" s="367"/>
      <c r="D18" s="368"/>
      <c r="E18" s="367"/>
      <c r="F18" s="367"/>
      <c r="G18" s="367"/>
      <c r="H18" s="366"/>
      <c r="I18" s="367"/>
      <c r="J18" s="368"/>
      <c r="K18" s="47"/>
      <c r="L18" s="47"/>
      <c r="M18" s="166"/>
    </row>
    <row r="19" spans="1:13" ht="15">
      <c r="A19" s="195"/>
      <c r="B19" s="366"/>
      <c r="C19" s="367"/>
      <c r="D19" s="368"/>
      <c r="E19" s="367"/>
      <c r="F19" s="367"/>
      <c r="G19" s="367"/>
      <c r="H19" s="366"/>
      <c r="I19" s="367"/>
      <c r="J19" s="368"/>
      <c r="K19" s="47"/>
      <c r="L19" s="47"/>
      <c r="M19" s="166"/>
    </row>
    <row r="20" spans="1:13" ht="27">
      <c r="A20" s="196"/>
      <c r="B20" s="35" t="s">
        <v>0</v>
      </c>
      <c r="C20" s="36" t="s">
        <v>101</v>
      </c>
      <c r="D20" s="36" t="s">
        <v>192</v>
      </c>
      <c r="E20" s="35" t="s">
        <v>0</v>
      </c>
      <c r="F20" s="36" t="s">
        <v>101</v>
      </c>
      <c r="G20" s="36" t="s">
        <v>192</v>
      </c>
      <c r="H20" s="35" t="s">
        <v>0</v>
      </c>
      <c r="I20" s="36" t="s">
        <v>101</v>
      </c>
      <c r="J20" s="36" t="s">
        <v>192</v>
      </c>
      <c r="K20" s="47"/>
      <c r="L20" s="47"/>
      <c r="M20" s="166"/>
    </row>
    <row r="21" spans="1:13" ht="1.5" customHeight="1">
      <c r="A21" s="197"/>
      <c r="B21" s="31" t="s">
        <v>197</v>
      </c>
      <c r="C21" s="12" t="s">
        <v>198</v>
      </c>
      <c r="D21" s="32"/>
      <c r="E21" s="12" t="s">
        <v>197</v>
      </c>
      <c r="F21" s="12" t="s">
        <v>198</v>
      </c>
      <c r="G21" s="12"/>
      <c r="H21" s="31"/>
      <c r="I21" s="12"/>
      <c r="J21" s="32"/>
      <c r="K21" s="47"/>
      <c r="L21" s="47"/>
      <c r="M21" s="166"/>
    </row>
    <row r="22" spans="1:13" ht="15">
      <c r="A22" s="198">
        <v>1872</v>
      </c>
      <c r="B22" s="45">
        <v>0.7384179</v>
      </c>
      <c r="C22" s="46">
        <v>0.735172</v>
      </c>
      <c r="D22" s="42">
        <f>(B22-TableB3!$F9*TableB4!C22)/(1-TableB3!$F9)</f>
        <v>0.7398675920301777</v>
      </c>
      <c r="E22" s="44">
        <v>0.7246503</v>
      </c>
      <c r="F22" s="44">
        <v>0.7314265</v>
      </c>
      <c r="G22" s="44">
        <f>(E22-TableB3!$F9*TableB4!F22)/(1-TableB3!$F9)</f>
        <v>0.7216238964956129</v>
      </c>
      <c r="H22" s="43">
        <f>(1-TableB3!B9)*TableB4!B22+TableB3!B9*TableB4!E22</f>
        <v>0.7317142228875599</v>
      </c>
      <c r="I22" s="44">
        <f>(1-TableB3!C9)*TableB4!C22+TableB3!C9*TableB4!F22</f>
        <v>0.7335092549413</v>
      </c>
      <c r="J22" s="42">
        <f>(1-TableB3!D9)*TableB4!D22+TableB3!D9*TableB4!G22</f>
        <v>0.7306720407867149</v>
      </c>
      <c r="K22" s="47"/>
      <c r="L22" s="47"/>
      <c r="M22" s="166"/>
    </row>
    <row r="23" spans="1:13" ht="15">
      <c r="A23" s="198">
        <v>1882</v>
      </c>
      <c r="B23" s="45">
        <v>0.773213</v>
      </c>
      <c r="C23" s="46">
        <v>0.7753559</v>
      </c>
      <c r="D23" s="42">
        <f>(B23-TableB3!$F10*TableB4!C23)/(1-TableB3!$F10)</f>
        <v>0.7724721711379484</v>
      </c>
      <c r="E23" s="44">
        <v>0.7947816</v>
      </c>
      <c r="F23" s="44">
        <v>0.7624172</v>
      </c>
      <c r="G23" s="44">
        <f>(E23-TableB3!$F10*TableB4!F23)/(1-TableB3!$F10)</f>
        <v>0.8059704009813715</v>
      </c>
      <c r="H23" s="43">
        <f>(1-TableB3!B10)*TableB4!B23+TableB3!B10*TableB4!E23</f>
        <v>0.78288147220446</v>
      </c>
      <c r="I23" s="44">
        <f>(1-TableB3!C10)*TableB4!C23+TableB3!C10*TableB4!F23</f>
        <v>0.76958128832102</v>
      </c>
      <c r="J23" s="42">
        <f>(1-TableB3!D10)*TableB4!D23+TableB3!D10*TableB4!G23</f>
        <v>0.7875108903525068</v>
      </c>
      <c r="K23" s="47"/>
      <c r="L23" s="47"/>
      <c r="M23" s="166"/>
    </row>
    <row r="24" spans="1:13" ht="15">
      <c r="A24" s="198">
        <v>1912</v>
      </c>
      <c r="B24" s="45">
        <v>0.8409497</v>
      </c>
      <c r="C24" s="46">
        <v>0.8411732</v>
      </c>
      <c r="D24" s="42">
        <f>(B24-TableB3!$F11*TableB4!C24)/(1-TableB3!$F11)</f>
        <v>0.8408526094240192</v>
      </c>
      <c r="E24" s="44">
        <v>0.842503</v>
      </c>
      <c r="F24" s="44">
        <v>0.840037</v>
      </c>
      <c r="G24" s="44">
        <f>(E24-TableB3!$F11*TableB4!F24)/(1-TableB3!$F11)</f>
        <v>0.843574254408811</v>
      </c>
      <c r="H24" s="43">
        <f>(1-TableB3!B11)*TableB4!B24+TableB3!B11*TableB4!E24</f>
        <v>0.8417049497199101</v>
      </c>
      <c r="I24" s="44">
        <f>(1-TableB3!C11)*TableB4!C24+TableB3!C11*TableB4!F24</f>
        <v>0.8406689216038201</v>
      </c>
      <c r="J24" s="42">
        <f>(1-TableB3!D11)*TableB4!D24+TableB3!D11*TableB4!G24</f>
        <v>0.8422207529689365</v>
      </c>
      <c r="K24" s="47"/>
      <c r="L24" s="47"/>
      <c r="M24" s="166"/>
    </row>
    <row r="25" spans="1:13" ht="15">
      <c r="A25" s="198">
        <v>1922</v>
      </c>
      <c r="B25" s="45">
        <v>0.8393951</v>
      </c>
      <c r="C25" s="46">
        <v>0.8406165</v>
      </c>
      <c r="D25" s="42">
        <f>(B25-TableB3!$F12*TableB4!C25)/(1-TableB3!$F12)</f>
        <v>0.8386220545681285</v>
      </c>
      <c r="E25" s="44">
        <v>0.8463429</v>
      </c>
      <c r="F25" s="44">
        <v>0.8467063</v>
      </c>
      <c r="G25" s="44">
        <f>(E25-TableB3!$F12*TableB4!F25)/(1-TableB3!$F12)</f>
        <v>0.8461128977812823</v>
      </c>
      <c r="H25" s="43">
        <f>(1-TableB3!B12)*TableB4!B25+TableB3!B12*TableB4!E25</f>
        <v>0.84309356609682</v>
      </c>
      <c r="I25" s="44">
        <f>(1-TableB3!C12)*TableB4!C25+TableB3!C12*TableB4!F25</f>
        <v>0.84329989302954</v>
      </c>
      <c r="J25" s="42">
        <f>(1-TableB3!D12)*TableB4!D25+TableB3!D12*TableB4!G25</f>
        <v>0.8429388708566808</v>
      </c>
      <c r="K25" s="47"/>
      <c r="L25" s="47"/>
      <c r="M25" s="166"/>
    </row>
    <row r="26" spans="1:13" ht="15">
      <c r="A26" s="198">
        <v>1927</v>
      </c>
      <c r="B26" s="45">
        <v>0.8385444</v>
      </c>
      <c r="C26" s="46">
        <v>0.8398497</v>
      </c>
      <c r="D26" s="42">
        <f>(B26-TableB3!$F13*TableB4!C26)/(1-TableB3!$F13)</f>
        <v>0.8378432492260729</v>
      </c>
      <c r="E26" s="44">
        <v>0.8415576</v>
      </c>
      <c r="F26" s="44">
        <v>0.8408672</v>
      </c>
      <c r="G26" s="44">
        <f>(E26-TableB3!$F13*TableB4!F26)/(1-TableB3!$F13)</f>
        <v>0.8419284530562471</v>
      </c>
      <c r="H26" s="43">
        <f>(1-TableB3!B13)*TableB4!B26+TableB3!B13*TableB4!E26</f>
        <v>0.8400725097282</v>
      </c>
      <c r="I26" s="44">
        <f>(1-TableB3!C13)*TableB4!C26+TableB3!C13*TableB4!F26</f>
        <v>0.840306605526</v>
      </c>
      <c r="J26" s="42">
        <f>(1-TableB3!D13)*TableB4!D26+TableB3!D13*TableB4!G26</f>
        <v>0.8400229355521409</v>
      </c>
      <c r="K26" s="47"/>
      <c r="L26" s="47"/>
      <c r="M26" s="166"/>
    </row>
    <row r="27" spans="1:13" ht="15">
      <c r="A27" s="198">
        <v>1932</v>
      </c>
      <c r="B27" s="45">
        <v>0.8724406</v>
      </c>
      <c r="C27" s="46">
        <v>0.8704625</v>
      </c>
      <c r="D27" s="42">
        <f>(B27-TableB3!$F14*TableB4!C27)/(1-TableB3!$F14)</f>
        <v>0.8737900841725271</v>
      </c>
      <c r="E27" s="44">
        <v>0.9045773</v>
      </c>
      <c r="F27" s="44">
        <v>0.8791817</v>
      </c>
      <c r="G27" s="44">
        <f>(E27-TableB3!$F14*TableB4!F27)/(1-TableB3!$F14)</f>
        <v>0.9219024909670013</v>
      </c>
      <c r="H27" s="43">
        <f>(1-TableB3!B14)*TableB4!B27+TableB3!B14*TableB4!E27</f>
        <v>0.8883696663285301</v>
      </c>
      <c r="I27" s="44">
        <f>(1-TableB3!C14)*TableB4!C27+TableB3!C14*TableB4!F27</f>
        <v>0.8745058999558399</v>
      </c>
      <c r="J27" s="42">
        <f>(1-TableB3!D14)*TableB4!D27+TableB3!D14*TableB4!G27</f>
        <v>0.8985849415950089</v>
      </c>
      <c r="K27" s="47"/>
      <c r="L27" s="47"/>
      <c r="M27" s="166"/>
    </row>
    <row r="28" spans="1:13" ht="15">
      <c r="A28" s="199">
        <v>1937</v>
      </c>
      <c r="B28" s="89">
        <v>0.8843626</v>
      </c>
      <c r="C28" s="90">
        <v>0.8856192</v>
      </c>
      <c r="D28" s="91">
        <f>(B28-TableB3!$F15*TableB4!C28)/(1-TableB3!$F15)</f>
        <v>0.8832779417354805</v>
      </c>
      <c r="E28" s="92">
        <v>0.8777714</v>
      </c>
      <c r="F28" s="92">
        <v>0.8781378</v>
      </c>
      <c r="G28" s="92">
        <f>(E28-TableB3!$F15*TableB4!F28)/(1-TableB3!$F15)</f>
        <v>0.8774551348494986</v>
      </c>
      <c r="H28" s="93">
        <f>(1-TableB3!B15)*TableB4!B28+TableB3!B15*TableB4!E28</f>
        <v>0.8810804262744001</v>
      </c>
      <c r="I28" s="92">
        <f>(1-TableB3!C15)*TableB4!C28+TableB3!C15*TableB4!F28</f>
        <v>0.88225653813456</v>
      </c>
      <c r="J28" s="91">
        <f>(1-TableB3!D15)*TableB4!D28+TableB3!D15*TableB4!G28</f>
        <v>0.8801718422758554</v>
      </c>
      <c r="K28" s="47"/>
      <c r="L28" s="47"/>
      <c r="M28" s="166"/>
    </row>
    <row r="29" spans="1:13" ht="3" customHeight="1" thickBot="1">
      <c r="A29" s="194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66"/>
    </row>
    <row r="30" spans="1:13" ht="15.75" thickBot="1" thickTop="1">
      <c r="A30" s="327" t="s">
        <v>452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13"/>
    </row>
    <row r="31" ht="15" thickTop="1"/>
  </sheetData>
  <mergeCells count="10">
    <mergeCell ref="K5:M6"/>
    <mergeCell ref="A3:M3"/>
    <mergeCell ref="B5:D6"/>
    <mergeCell ref="E5:G6"/>
    <mergeCell ref="H5:J6"/>
    <mergeCell ref="B4:J4"/>
    <mergeCell ref="A30:M30"/>
    <mergeCell ref="B17:D19"/>
    <mergeCell ref="E17:G19"/>
    <mergeCell ref="H17:J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3" sqref="A3:J36"/>
    </sheetView>
  </sheetViews>
  <sheetFormatPr defaultColWidth="11.5546875" defaultRowHeight="15"/>
  <cols>
    <col min="1" max="1" width="9.6640625" style="0" customWidth="1"/>
    <col min="2" max="2" width="12.6640625" style="0" customWidth="1"/>
    <col min="3" max="10" width="9.6640625" style="0" customWidth="1"/>
    <col min="11" max="22" width="10.77734375" style="0" customWidth="1"/>
    <col min="23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370" t="s">
        <v>270</v>
      </c>
      <c r="B3" s="371"/>
      <c r="C3" s="371"/>
      <c r="D3" s="371"/>
      <c r="E3" s="371"/>
      <c r="F3" s="371"/>
      <c r="G3" s="371"/>
      <c r="H3" s="371"/>
      <c r="I3" s="371"/>
      <c r="J3" s="377"/>
    </row>
    <row r="4" spans="1:10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</row>
    <row r="5" spans="1:10" ht="18" customHeight="1">
      <c r="A5" s="382"/>
      <c r="B5" s="385" t="s">
        <v>338</v>
      </c>
      <c r="C5" s="350" t="s">
        <v>16</v>
      </c>
      <c r="D5" s="350"/>
      <c r="E5" s="378"/>
      <c r="F5" s="378"/>
      <c r="G5" s="358" t="s">
        <v>17</v>
      </c>
      <c r="H5" s="350"/>
      <c r="I5" s="351"/>
      <c r="J5" s="362"/>
    </row>
    <row r="6" spans="1:10" ht="18" customHeight="1">
      <c r="A6" s="383"/>
      <c r="B6" s="386"/>
      <c r="C6" s="379"/>
      <c r="D6" s="379"/>
      <c r="E6" s="380"/>
      <c r="F6" s="380"/>
      <c r="G6" s="381"/>
      <c r="H6" s="379"/>
      <c r="I6" s="339"/>
      <c r="J6" s="326"/>
    </row>
    <row r="7" spans="1:10" ht="18" customHeight="1">
      <c r="A7" s="383"/>
      <c r="B7" s="387"/>
      <c r="C7" s="380"/>
      <c r="D7" s="380"/>
      <c r="E7" s="380"/>
      <c r="F7" s="380"/>
      <c r="G7" s="360"/>
      <c r="H7" s="339"/>
      <c r="I7" s="339"/>
      <c r="J7" s="326"/>
    </row>
    <row r="8" spans="1:10" ht="18" customHeight="1">
      <c r="A8" s="383"/>
      <c r="B8" s="387"/>
      <c r="C8" s="380"/>
      <c r="D8" s="380"/>
      <c r="E8" s="380"/>
      <c r="F8" s="380"/>
      <c r="G8" s="360"/>
      <c r="H8" s="339"/>
      <c r="I8" s="339"/>
      <c r="J8" s="326"/>
    </row>
    <row r="9" spans="1:10" ht="18" customHeight="1">
      <c r="A9" s="384"/>
      <c r="B9" s="388"/>
      <c r="C9" s="16" t="s">
        <v>19</v>
      </c>
      <c r="D9" s="16" t="s">
        <v>20</v>
      </c>
      <c r="E9" s="16" t="s">
        <v>21</v>
      </c>
      <c r="F9" s="16" t="s">
        <v>22</v>
      </c>
      <c r="G9" s="17" t="s">
        <v>19</v>
      </c>
      <c r="H9" s="16" t="s">
        <v>20</v>
      </c>
      <c r="I9" s="16" t="s">
        <v>21</v>
      </c>
      <c r="J9" s="182" t="s">
        <v>22</v>
      </c>
    </row>
    <row r="10" spans="1:10" ht="18" customHeight="1">
      <c r="A10" s="374" t="s">
        <v>18</v>
      </c>
      <c r="B10" s="375"/>
      <c r="C10" s="375"/>
      <c r="D10" s="375"/>
      <c r="E10" s="375"/>
      <c r="F10" s="375"/>
      <c r="G10" s="375"/>
      <c r="H10" s="375"/>
      <c r="I10" s="375"/>
      <c r="J10" s="376"/>
    </row>
    <row r="11" spans="1:10" ht="18" customHeight="1">
      <c r="A11" s="132">
        <v>1872</v>
      </c>
      <c r="B11" s="26">
        <f>B20*(1-TableB3!$C9)+TableB5!B29*TableB3!$C9</f>
        <v>0.97312010651764</v>
      </c>
      <c r="C11" s="21">
        <f>C20*(1-TableB3!$C9)+TableB5!C29*TableB3!$C9</f>
        <v>0.55244061355978</v>
      </c>
      <c r="D11" s="22">
        <f>D20*(1-TableB3!$C9)+TableB5!D29*TableB3!$C9</f>
        <v>0.25791554434286</v>
      </c>
      <c r="E11" s="22">
        <f>E20*(1-TableB3!$C9)+TableB5!E29*TableB3!$C9</f>
        <v>0.00065960092372</v>
      </c>
      <c r="F11" s="23">
        <f>F20*(1-TableB3!$C9)+TableB5!F29*TableB3!$C9</f>
        <v>0.16210424769128</v>
      </c>
      <c r="G11" s="48">
        <f>(G20*(1-TableB3!$C9)*C20+TableB5!G29*TableB3!$C9*C29)/C11</f>
        <v>51.39052817728373</v>
      </c>
      <c r="H11" s="49">
        <f>(H20*(1-TableB3!$C9)*D20+TableB5!H29*TableB3!$C9*D29)/D11</f>
        <v>66.8969757708804</v>
      </c>
      <c r="I11" s="49">
        <f>(I20*(1-TableB3!$C9)*E20+TableB5!I29*TableB3!$C9*E29)/E11</f>
        <v>59.74993911409376</v>
      </c>
      <c r="J11" s="200">
        <f>(J20*(1-TableB3!$C9)*F20+TableB5!J29*TableB3!$C9*F29)/F11</f>
        <v>51.87802446443305</v>
      </c>
    </row>
    <row r="12" spans="1:10" ht="18" customHeight="1">
      <c r="A12" s="132">
        <v>1882</v>
      </c>
      <c r="B12" s="26">
        <f>B21*(1-TableB3!$C10)+TableB5!B30*TableB3!$C10</f>
        <v>0.94667486279292</v>
      </c>
      <c r="C12" s="21">
        <f>C21*(1-TableB3!$C10)+TableB5!C30*TableB3!$C10</f>
        <v>0.54445814202158</v>
      </c>
      <c r="D12" s="22">
        <f>D21*(1-TableB3!$C10)+TableB5!D30*TableB3!$C10</f>
        <v>0.26933495406362007</v>
      </c>
      <c r="E12" s="22">
        <f>E21*(1-TableB3!$C10)+TableB5!E30*TableB3!$C10</f>
        <v>0</v>
      </c>
      <c r="F12" s="23">
        <f>F21*(1-TableB3!$C10)+TableB5!F30*TableB3!$C10</f>
        <v>0.13288177744664</v>
      </c>
      <c r="G12" s="48">
        <f>(G21*(1-TableB3!$C10)*C21+TableB5!G30*TableB3!$C10*C30)/C12</f>
        <v>51.27159697210114</v>
      </c>
      <c r="H12" s="49">
        <f>(H21*(1-TableB3!$C10)*D21+TableB5!H30*TableB3!$C10*D30)/D12</f>
        <v>67.71608206797762</v>
      </c>
      <c r="I12" s="49"/>
      <c r="J12" s="200">
        <f>(J21*(1-TableB3!$C10)*F21+TableB5!J30*TableB3!$C10*F30)/F12</f>
        <v>52.27905649571689</v>
      </c>
    </row>
    <row r="13" spans="1:10" ht="18" customHeight="1">
      <c r="A13" s="132">
        <v>1912</v>
      </c>
      <c r="B13" s="26">
        <f>B22*(1-TableB3!$C11)+TableB5!B31*TableB3!$C11</f>
        <v>0.4271057875372001</v>
      </c>
      <c r="C13" s="21">
        <f>C22*(1-TableB3!$C11)+TableB5!C31*TableB3!$C11</f>
        <v>0.21380938606848</v>
      </c>
      <c r="D13" s="22">
        <f>D22*(1-TableB3!$C11)+TableB5!D31*TableB3!$C11</f>
        <v>0.14035090311929</v>
      </c>
      <c r="E13" s="22">
        <f>E22*(1-TableB3!$C11)+TableB5!E31*TableB3!$C11</f>
        <v>0.00697649888957</v>
      </c>
      <c r="F13" s="23">
        <f>F22*(1-TableB3!$C11)+TableB5!F31*TableB3!$C11</f>
        <v>0.06596904384275001</v>
      </c>
      <c r="G13" s="48">
        <f>(G22*(1-TableB3!$C11)*C22+TableB5!G31*TableB3!$C11*C31)/C13</f>
        <v>54.797482601482905</v>
      </c>
      <c r="H13" s="49">
        <f>(H22*(1-TableB3!$C11)*D22+TableB5!H31*TableB3!$C11*D31)/D13</f>
        <v>70.85855746345266</v>
      </c>
      <c r="I13" s="49">
        <f>(I22*(1-TableB3!$C11)*E22+TableB5!I31*TableB3!$C11*E31)/E13</f>
        <v>56.798794226000055</v>
      </c>
      <c r="J13" s="200">
        <f>(J22*(1-TableB3!$C11)*F22+TableB5!J31*TableB3!$C11*F31)/F13</f>
        <v>52.622820847614584</v>
      </c>
    </row>
    <row r="14" spans="1:10" ht="18" customHeight="1">
      <c r="A14" s="132">
        <v>1922</v>
      </c>
      <c r="B14" s="26">
        <f>B23*(1-TableB3!$C12)+TableB5!B32*TableB3!$C12</f>
        <v>0.86774335376239</v>
      </c>
      <c r="C14" s="21">
        <f>C23*(1-TableB3!$C12)+TableB5!C32*TableB3!$C12</f>
        <v>0.46486254217465994</v>
      </c>
      <c r="D14" s="22">
        <f>D23*(1-TableB3!$C12)+TableB5!D32*TableB3!$C12</f>
        <v>0.26451334207622</v>
      </c>
      <c r="E14" s="22">
        <f>E23*(1-TableB3!$C12)+TableB5!E32*TableB3!$C12</f>
        <v>0.015931902902119998</v>
      </c>
      <c r="F14" s="23">
        <f>F23*(1-TableB3!$C12)+TableB5!F32*TableB3!$C12</f>
        <v>0.12243561067312</v>
      </c>
      <c r="G14" s="48">
        <f>(G23*(1-TableB3!$C12)*C23+TableB5!G32*TableB3!$C12*C32)/C14</f>
        <v>55.36981688674153</v>
      </c>
      <c r="H14" s="49">
        <f>(H23*(1-TableB3!$C12)*D23+TableB5!H32*TableB3!$C12*D32)/D14</f>
        <v>69.10144392047597</v>
      </c>
      <c r="I14" s="49">
        <f>(I23*(1-TableB3!$C12)*E23+TableB5!I32*TableB3!$C12*E32)/E14</f>
        <v>56.78200109686465</v>
      </c>
      <c r="J14" s="200">
        <f>(J23*(1-TableB3!$C12)*F23+TableB5!J32*TableB3!$C12*F32)/F14</f>
        <v>55.23353608555653</v>
      </c>
    </row>
    <row r="15" spans="1:10" ht="18" customHeight="1">
      <c r="A15" s="132">
        <v>1927</v>
      </c>
      <c r="B15" s="26">
        <f>B24*(1-TableB3!$C13)+TableB5!B33*TableB3!$C13</f>
        <v>0.9795981598965601</v>
      </c>
      <c r="C15" s="21">
        <f>C24*(1-TableB3!$C13)+TableB5!C33*TableB3!$C13</f>
        <v>0.5301367450964</v>
      </c>
      <c r="D15" s="22">
        <f>D24*(1-TableB3!$C13)+TableB5!D33*TableB3!$C13</f>
        <v>0.28862881925792</v>
      </c>
      <c r="E15" s="22">
        <f>E24*(1-TableB3!$C13)+TableB5!E33*TableB3!$C13</f>
        <v>0.02195527918832</v>
      </c>
      <c r="F15" s="23">
        <f>F24*(1-TableB3!$C13)+TableB5!F33*TableB3!$C13</f>
        <v>0.1388773714492</v>
      </c>
      <c r="G15" s="48">
        <f>(G24*(1-TableB3!$C13)*C24+TableB5!G33*TableB3!$C13*C33)/C15</f>
        <v>55.53017553697073</v>
      </c>
      <c r="H15" s="49">
        <f>(H24*(1-TableB3!$C13)*D24+TableB5!H33*TableB3!$C13*D33)/D15</f>
        <v>70.07673914227922</v>
      </c>
      <c r="I15" s="49">
        <f>(I24*(1-TableB3!$C13)*E24+TableB5!I33*TableB3!$C13*E33)/E15</f>
        <v>57.81709480007799</v>
      </c>
      <c r="J15" s="200">
        <f>(J24*(1-TableB3!$C13)*F24+TableB5!J33*TableB3!$C13*F33)/F15</f>
        <v>53.18619360403675</v>
      </c>
    </row>
    <row r="16" spans="1:10" ht="18" customHeight="1">
      <c r="A16" s="132">
        <v>1932</v>
      </c>
      <c r="B16" s="26">
        <f>B25*(1-TableB3!$C14)+TableB5!B34*TableB3!$C14</f>
        <v>0.9861659882491199</v>
      </c>
      <c r="C16" s="21">
        <f>C25*(1-TableB3!$C14)+TableB5!C34*TableB3!$C14</f>
        <v>0.5387352100592799</v>
      </c>
      <c r="D16" s="22">
        <f>D25*(1-TableB3!$C14)+TableB5!D34*TableB3!$C14</f>
        <v>0.28695651512152</v>
      </c>
      <c r="E16" s="22">
        <f>E25*(1-TableB3!$C14)+TableB5!E34*TableB3!$C14</f>
        <v>0.02588936731056</v>
      </c>
      <c r="F16" s="23">
        <f>F25*(1-TableB3!$C14)+TableB5!F34*TableB3!$C14</f>
        <v>0.13458494938423998</v>
      </c>
      <c r="G16" s="48">
        <f>(G25*(1-TableB3!$C14)*C25+TableB5!G34*TableB3!$C14*C34)/C16</f>
        <v>56.84578401082454</v>
      </c>
      <c r="H16" s="49">
        <f>(H25*(1-TableB3!$C14)*D25+TableB5!H34*TableB3!$C14*D34)/D16</f>
        <v>70.42926082299687</v>
      </c>
      <c r="I16" s="49">
        <f>(I25*(1-TableB3!$C14)*E25+TableB5!I34*TableB3!$C14*E34)/E16</f>
        <v>59.61930351117383</v>
      </c>
      <c r="J16" s="200">
        <f>(J25*(1-TableB3!$C14)*F25+TableB5!J34*TableB3!$C14*F34)/F16</f>
        <v>53.1994727064618</v>
      </c>
    </row>
    <row r="17" spans="1:10" ht="18" customHeight="1">
      <c r="A17" s="132">
        <v>1937</v>
      </c>
      <c r="B17" s="26">
        <f>B26*(1-TableB3!$C15)+TableB5!B35*TableB3!$C15</f>
        <v>0.98977818329456</v>
      </c>
      <c r="C17" s="21">
        <f>C26*(1-TableB3!$C15)+TableB5!C35*TableB3!$C15</f>
        <v>0.55863068601864</v>
      </c>
      <c r="D17" s="22">
        <f>D26*(1-TableB3!$C15)+TableB5!D35*TableB3!$C15</f>
        <v>0.29353904844328005</v>
      </c>
      <c r="E17" s="22">
        <f>E26*(1-TableB3!$C15)+TableB5!E35*TableB3!$C15</f>
        <v>0.021793617161040002</v>
      </c>
      <c r="F17" s="23">
        <f>F26*(1-TableB3!$C15)+TableB5!F35*TableB3!$C15</f>
        <v>0.1158148316716</v>
      </c>
      <c r="G17" s="48">
        <f>(G26*(1-TableB3!$C15)*C26+TableB5!G35*TableB3!$C15*C35)/C17</f>
        <v>57.75465777231465</v>
      </c>
      <c r="H17" s="49">
        <f>(H26*(1-TableB3!$C15)*D26+TableB5!H35*TableB3!$C15*D35)/D17</f>
        <v>71.66135001070852</v>
      </c>
      <c r="I17" s="49">
        <f>(I26*(1-TableB3!$C15)*E26+TableB5!I35*TableB3!$C15*E35)/E17</f>
        <v>60.23339197137395</v>
      </c>
      <c r="J17" s="200">
        <f>(J26*(1-TableB3!$C15)*F26+TableB5!J35*TableB3!$C15*F35)/F17</f>
        <v>56.17623226760535</v>
      </c>
    </row>
    <row r="18" spans="1:10" ht="18" customHeight="1">
      <c r="A18" s="374" t="s">
        <v>103</v>
      </c>
      <c r="B18" s="375"/>
      <c r="C18" s="375"/>
      <c r="D18" s="375"/>
      <c r="E18" s="375"/>
      <c r="F18" s="375"/>
      <c r="G18" s="375"/>
      <c r="H18" s="375"/>
      <c r="I18" s="375"/>
      <c r="J18" s="376"/>
    </row>
    <row r="19" spans="1:10" ht="1.5" customHeight="1">
      <c r="A19" s="130"/>
      <c r="B19" s="25" t="s">
        <v>199</v>
      </c>
      <c r="C19" s="6" t="s">
        <v>200</v>
      </c>
      <c r="D19" s="6" t="s">
        <v>201</v>
      </c>
      <c r="E19" s="6" t="s">
        <v>202</v>
      </c>
      <c r="F19" s="6" t="s">
        <v>203</v>
      </c>
      <c r="G19" s="31" t="s">
        <v>204</v>
      </c>
      <c r="H19" s="12" t="s">
        <v>205</v>
      </c>
      <c r="I19" s="12" t="s">
        <v>206</v>
      </c>
      <c r="J19" s="131" t="s">
        <v>207</v>
      </c>
    </row>
    <row r="20" spans="1:10" ht="18" customHeight="1">
      <c r="A20" s="132">
        <v>1872</v>
      </c>
      <c r="B20" s="26">
        <v>0.9581851</v>
      </c>
      <c r="C20" s="22">
        <v>0.6159549</v>
      </c>
      <c r="D20" s="22">
        <v>0.161032</v>
      </c>
      <c r="E20" s="22">
        <v>0.0005931</v>
      </c>
      <c r="F20" s="22">
        <v>0.180605</v>
      </c>
      <c r="G20" s="33">
        <v>54.56775</v>
      </c>
      <c r="H20" s="37">
        <v>67.61729</v>
      </c>
      <c r="I20" s="37">
        <v>54.5</v>
      </c>
      <c r="J20" s="201">
        <v>50.83574</v>
      </c>
    </row>
    <row r="21" spans="1:10" ht="18" customHeight="1">
      <c r="A21" s="132">
        <v>1882</v>
      </c>
      <c r="B21" s="26">
        <v>0.9310498</v>
      </c>
      <c r="C21" s="22">
        <v>0.6278915</v>
      </c>
      <c r="D21" s="22">
        <v>0.1630338</v>
      </c>
      <c r="E21" s="22">
        <v>0</v>
      </c>
      <c r="F21" s="22">
        <v>0.1401246</v>
      </c>
      <c r="G21" s="33">
        <v>54.10477</v>
      </c>
      <c r="H21" s="37">
        <v>66.91472</v>
      </c>
      <c r="I21" s="37"/>
      <c r="J21" s="201">
        <v>50.78556</v>
      </c>
    </row>
    <row r="22" spans="1:10" ht="18" customHeight="1">
      <c r="A22" s="132">
        <v>1912</v>
      </c>
      <c r="B22" s="26">
        <v>0.4104409</v>
      </c>
      <c r="C22" s="22">
        <v>0.2584394</v>
      </c>
      <c r="D22" s="22">
        <v>0.0796901</v>
      </c>
      <c r="E22" s="22">
        <v>0.0051651</v>
      </c>
      <c r="F22" s="22">
        <v>0.0671463</v>
      </c>
      <c r="G22" s="33">
        <v>56.67103</v>
      </c>
      <c r="H22" s="37">
        <v>69.6</v>
      </c>
      <c r="I22" s="37">
        <v>56.20833</v>
      </c>
      <c r="J22" s="201">
        <v>50.86207</v>
      </c>
    </row>
    <row r="23" spans="1:10" ht="18" customHeight="1">
      <c r="A23" s="132">
        <v>1922</v>
      </c>
      <c r="B23" s="26">
        <v>0.8562232</v>
      </c>
      <c r="C23" s="22">
        <v>0.576668</v>
      </c>
      <c r="D23" s="22">
        <v>0.1525556</v>
      </c>
      <c r="E23" s="22">
        <v>0.0122903</v>
      </c>
      <c r="F23" s="22">
        <v>0.1147093</v>
      </c>
      <c r="G23" s="33">
        <v>57.26748</v>
      </c>
      <c r="H23" s="37">
        <v>68.00885</v>
      </c>
      <c r="I23" s="37">
        <v>55.19643</v>
      </c>
      <c r="J23" s="201">
        <v>53.8497</v>
      </c>
    </row>
    <row r="24" spans="1:10" ht="18" customHeight="1">
      <c r="A24" s="132">
        <v>1927</v>
      </c>
      <c r="B24" s="26">
        <v>0.9780075</v>
      </c>
      <c r="C24" s="22">
        <v>0.6838346</v>
      </c>
      <c r="D24" s="22">
        <v>0.1588346</v>
      </c>
      <c r="E24" s="22">
        <v>0.0171053</v>
      </c>
      <c r="F24" s="22">
        <v>0.1182331</v>
      </c>
      <c r="G24" s="33">
        <v>57.30991</v>
      </c>
      <c r="H24" s="37">
        <v>68.78918</v>
      </c>
      <c r="I24" s="37">
        <v>58.08108</v>
      </c>
      <c r="J24" s="201">
        <v>51.92786</v>
      </c>
    </row>
    <row r="25" spans="1:10" ht="18" customHeight="1">
      <c r="A25" s="132">
        <v>1932</v>
      </c>
      <c r="B25" s="26">
        <v>0.9876543</v>
      </c>
      <c r="C25" s="22">
        <v>0.6917266</v>
      </c>
      <c r="D25" s="22">
        <v>0.1612309</v>
      </c>
      <c r="E25" s="22">
        <v>0.0180579</v>
      </c>
      <c r="F25" s="22">
        <v>0.116639</v>
      </c>
      <c r="G25" s="33">
        <v>58.52544</v>
      </c>
      <c r="H25" s="37">
        <v>69.62666</v>
      </c>
      <c r="I25" s="37">
        <v>57.67059</v>
      </c>
      <c r="J25" s="201">
        <v>50.9794</v>
      </c>
    </row>
    <row r="26" spans="1:10" ht="18" customHeight="1">
      <c r="A26" s="132">
        <v>1937</v>
      </c>
      <c r="B26" s="26">
        <v>0.9882641</v>
      </c>
      <c r="C26" s="22">
        <v>0.7291995</v>
      </c>
      <c r="D26" s="22">
        <v>0.1504642</v>
      </c>
      <c r="E26" s="22">
        <v>0.0164652</v>
      </c>
      <c r="F26" s="22">
        <v>0.0921352</v>
      </c>
      <c r="G26" s="33">
        <v>59.13807</v>
      </c>
      <c r="H26" s="37">
        <v>71.50723</v>
      </c>
      <c r="I26" s="37">
        <v>60.19753</v>
      </c>
      <c r="J26" s="201">
        <v>53.04376</v>
      </c>
    </row>
    <row r="27" spans="1:10" ht="18" customHeight="1">
      <c r="A27" s="374" t="s">
        <v>104</v>
      </c>
      <c r="B27" s="375"/>
      <c r="C27" s="375"/>
      <c r="D27" s="375"/>
      <c r="E27" s="375"/>
      <c r="F27" s="375"/>
      <c r="G27" s="375"/>
      <c r="H27" s="375"/>
      <c r="I27" s="375"/>
      <c r="J27" s="376"/>
    </row>
    <row r="28" spans="1:10" ht="1.5" customHeight="1">
      <c r="A28" s="130"/>
      <c r="B28" s="25" t="s">
        <v>199</v>
      </c>
      <c r="C28" s="6" t="s">
        <v>200</v>
      </c>
      <c r="D28" s="6" t="s">
        <v>201</v>
      </c>
      <c r="E28" s="6" t="s">
        <v>202</v>
      </c>
      <c r="F28" s="6" t="s">
        <v>203</v>
      </c>
      <c r="G28" s="31" t="s">
        <v>204</v>
      </c>
      <c r="H28" s="12" t="s">
        <v>205</v>
      </c>
      <c r="I28" s="12" t="s">
        <v>206</v>
      </c>
      <c r="J28" s="131" t="s">
        <v>207</v>
      </c>
    </row>
    <row r="29" spans="1:10" ht="18" customHeight="1">
      <c r="A29" s="132">
        <v>1872</v>
      </c>
      <c r="B29" s="26">
        <v>0.9918277</v>
      </c>
      <c r="C29" s="22">
        <v>0.4728826</v>
      </c>
      <c r="D29" s="22">
        <v>0.3792719</v>
      </c>
      <c r="E29" s="22">
        <v>0.0007429</v>
      </c>
      <c r="F29" s="22">
        <v>0.1389302</v>
      </c>
      <c r="G29" s="33">
        <v>46.20664</v>
      </c>
      <c r="H29" s="37">
        <v>66.51389</v>
      </c>
      <c r="I29" s="37">
        <v>65</v>
      </c>
      <c r="J29" s="201">
        <v>53.57522</v>
      </c>
    </row>
    <row r="30" spans="1:10" ht="18" customHeight="1">
      <c r="A30" s="132">
        <v>1882</v>
      </c>
      <c r="B30" s="26">
        <v>0.9660596</v>
      </c>
      <c r="C30" s="22">
        <v>0.4409492</v>
      </c>
      <c r="D30" s="22">
        <v>0.4012141</v>
      </c>
      <c r="E30" s="22">
        <v>0</v>
      </c>
      <c r="F30" s="22">
        <v>0.1238962</v>
      </c>
      <c r="G30" s="33">
        <v>46.26656</v>
      </c>
      <c r="H30" s="37">
        <v>68.12007</v>
      </c>
      <c r="I30" s="37"/>
      <c r="J30" s="201">
        <v>54.37461</v>
      </c>
    </row>
    <row r="31" spans="1:10" ht="18" customHeight="1">
      <c r="A31" s="132">
        <v>1912</v>
      </c>
      <c r="B31" s="26">
        <v>0.4479889</v>
      </c>
      <c r="C31" s="22">
        <v>0.1578826</v>
      </c>
      <c r="D31" s="22">
        <v>0.2163662</v>
      </c>
      <c r="E31" s="22">
        <v>0.0092464</v>
      </c>
      <c r="F31" s="22">
        <v>0.0644938</v>
      </c>
      <c r="G31" s="33">
        <v>50.95438</v>
      </c>
      <c r="H31" s="37">
        <v>71.43943</v>
      </c>
      <c r="I31" s="37">
        <v>57.21212</v>
      </c>
      <c r="J31" s="201">
        <v>54.92</v>
      </c>
    </row>
    <row r="32" spans="1:10" ht="18" customHeight="1">
      <c r="A32" s="132">
        <v>1922</v>
      </c>
      <c r="B32" s="26">
        <v>0.8823675</v>
      </c>
      <c r="C32" s="22">
        <v>0.3229322</v>
      </c>
      <c r="D32" s="22">
        <v>0.406637</v>
      </c>
      <c r="E32" s="22">
        <v>0.0205547</v>
      </c>
      <c r="F32" s="22">
        <v>0.1322437</v>
      </c>
      <c r="G32" s="33">
        <v>51.06806</v>
      </c>
      <c r="H32" s="37">
        <v>69.62179</v>
      </c>
      <c r="I32" s="37">
        <v>57.98551</v>
      </c>
      <c r="J32" s="201">
        <v>56.75731</v>
      </c>
    </row>
    <row r="33" spans="1:10" ht="18" customHeight="1">
      <c r="A33" s="132">
        <v>1927</v>
      </c>
      <c r="B33" s="26">
        <v>0.9815498</v>
      </c>
      <c r="C33" s="22">
        <v>0.3415591</v>
      </c>
      <c r="D33" s="22">
        <v>0.4478782</v>
      </c>
      <c r="E33" s="22">
        <v>0.0279059</v>
      </c>
      <c r="F33" s="22">
        <v>0.1642066</v>
      </c>
      <c r="G33" s="33">
        <v>51.15835</v>
      </c>
      <c r="H33" s="37">
        <v>70.63698</v>
      </c>
      <c r="I33" s="37">
        <v>57.61856</v>
      </c>
      <c r="J33" s="201">
        <v>54.29784</v>
      </c>
    </row>
    <row r="34" spans="1:10" ht="18" customHeight="1">
      <c r="A34" s="132">
        <v>1932</v>
      </c>
      <c r="B34" s="26">
        <v>0.9844449</v>
      </c>
      <c r="C34" s="22">
        <v>0.3618155</v>
      </c>
      <c r="D34" s="22">
        <v>0.432346</v>
      </c>
      <c r="E34" s="22">
        <v>0.0349457</v>
      </c>
      <c r="F34" s="22">
        <v>0.1553377</v>
      </c>
      <c r="G34" s="33">
        <v>53.13234</v>
      </c>
      <c r="H34" s="37">
        <v>70.77538</v>
      </c>
      <c r="I34" s="37">
        <v>60.78378</v>
      </c>
      <c r="J34" s="201">
        <v>55.12719</v>
      </c>
    </row>
    <row r="35" spans="1:10" ht="15" thickBot="1">
      <c r="A35" s="192">
        <v>1937</v>
      </c>
      <c r="B35" s="94">
        <v>0.9916327</v>
      </c>
      <c r="C35" s="52">
        <v>0.3497104</v>
      </c>
      <c r="D35" s="52">
        <v>0.4687835</v>
      </c>
      <c r="E35" s="52">
        <v>0.0283201</v>
      </c>
      <c r="F35" s="52">
        <v>0.1448187</v>
      </c>
      <c r="G35" s="84">
        <v>54.22144</v>
      </c>
      <c r="H35" s="85">
        <v>71.72194</v>
      </c>
      <c r="I35" s="85">
        <v>60.25893</v>
      </c>
      <c r="J35" s="202">
        <v>58.61724</v>
      </c>
    </row>
    <row r="36" spans="1:10" ht="15.75" thickBot="1" thickTop="1">
      <c r="A36" s="327" t="s">
        <v>453</v>
      </c>
      <c r="B36" s="328"/>
      <c r="C36" s="328"/>
      <c r="D36" s="328"/>
      <c r="E36" s="328"/>
      <c r="F36" s="328"/>
      <c r="G36" s="328"/>
      <c r="H36" s="328"/>
      <c r="I36" s="328"/>
      <c r="J36" s="329"/>
    </row>
    <row r="37" ht="15" thickTop="1"/>
  </sheetData>
  <mergeCells count="10">
    <mergeCell ref="A3:J3"/>
    <mergeCell ref="C5:F8"/>
    <mergeCell ref="G5:J8"/>
    <mergeCell ref="B4:J4"/>
    <mergeCell ref="A5:A9"/>
    <mergeCell ref="B5:B9"/>
    <mergeCell ref="A36:J36"/>
    <mergeCell ref="A18:J18"/>
    <mergeCell ref="A27:J27"/>
    <mergeCell ref="A10:J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workbookViewId="0" topLeftCell="A1">
      <selection activeCell="A3" sqref="A3:H135"/>
    </sheetView>
  </sheetViews>
  <sheetFormatPr defaultColWidth="11.5546875" defaultRowHeight="15"/>
  <cols>
    <col min="1" max="8" width="11.6640625" style="0" customWidth="1"/>
    <col min="9" max="21" width="10.77734375" style="0" customWidth="1"/>
    <col min="22" max="16384" width="8.88671875" style="0" customWidth="1"/>
  </cols>
  <sheetData>
    <row r="1" spans="1:8" ht="15">
      <c r="A1" s="55"/>
      <c r="B1" s="2"/>
      <c r="C1" s="2"/>
      <c r="D1" s="2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370" t="s">
        <v>274</v>
      </c>
      <c r="B3" s="371"/>
      <c r="C3" s="371"/>
      <c r="D3" s="371"/>
      <c r="E3" s="371"/>
      <c r="F3" s="371"/>
      <c r="G3" s="371"/>
      <c r="H3" s="377"/>
    </row>
    <row r="4" spans="1:8" ht="18" customHeight="1">
      <c r="A4" s="127"/>
      <c r="B4" s="314"/>
      <c r="C4" s="314"/>
      <c r="D4" s="314"/>
      <c r="E4" s="314"/>
      <c r="F4" s="314"/>
      <c r="G4" s="314"/>
      <c r="H4" s="349"/>
    </row>
    <row r="5" spans="1:8" ht="18" customHeight="1">
      <c r="A5" s="389"/>
      <c r="B5" s="358" t="s">
        <v>31</v>
      </c>
      <c r="C5" s="350"/>
      <c r="D5" s="351"/>
      <c r="E5" s="351"/>
      <c r="F5" s="351"/>
      <c r="G5" s="351"/>
      <c r="H5" s="362"/>
    </row>
    <row r="6" spans="1:8" ht="18" customHeight="1">
      <c r="A6" s="390"/>
      <c r="B6" s="360"/>
      <c r="C6" s="339"/>
      <c r="D6" s="339"/>
      <c r="E6" s="339"/>
      <c r="F6" s="339"/>
      <c r="G6" s="339"/>
      <c r="H6" s="326"/>
    </row>
    <row r="7" spans="1:8" ht="18" customHeight="1">
      <c r="A7" s="391"/>
      <c r="B7" s="17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2" t="s">
        <v>29</v>
      </c>
    </row>
    <row r="8" spans="1:8" ht="18" customHeight="1">
      <c r="A8" s="132">
        <v>1872</v>
      </c>
      <c r="B8" s="29">
        <f aca="true" t="shared" si="0" ref="B8:H14">B31*B53</f>
        <v>4012.262305882353</v>
      </c>
      <c r="C8" s="30">
        <f t="shared" si="0"/>
        <v>6154.806231155779</v>
      </c>
      <c r="D8" s="30">
        <f t="shared" si="0"/>
        <v>22930.96955953714</v>
      </c>
      <c r="E8" s="30">
        <f t="shared" si="0"/>
        <v>21202.657117367173</v>
      </c>
      <c r="F8" s="30">
        <f t="shared" si="0"/>
        <v>44836.73027027027</v>
      </c>
      <c r="G8" s="30">
        <f t="shared" si="0"/>
        <v>53009.17853457172</v>
      </c>
      <c r="H8" s="161">
        <f t="shared" si="0"/>
        <v>63874.9224137931</v>
      </c>
    </row>
    <row r="9" spans="1:8" ht="18" customHeight="1">
      <c r="A9" s="132">
        <v>1882</v>
      </c>
      <c r="B9" s="29">
        <f t="shared" si="0"/>
        <v>3005.078454894434</v>
      </c>
      <c r="C9" s="30">
        <f t="shared" si="0"/>
        <v>5278.0282710926695</v>
      </c>
      <c r="D9" s="30">
        <f t="shared" si="0"/>
        <v>12679.236711362033</v>
      </c>
      <c r="E9" s="30">
        <f t="shared" si="0"/>
        <v>25151.3489569378</v>
      </c>
      <c r="F9" s="30">
        <f t="shared" si="0"/>
        <v>39501.47761232349</v>
      </c>
      <c r="G9" s="30">
        <f t="shared" si="0"/>
        <v>60567.23528368794</v>
      </c>
      <c r="H9" s="161">
        <f t="shared" si="0"/>
        <v>96933.6899237934</v>
      </c>
    </row>
    <row r="10" spans="1:8" ht="18" customHeight="1">
      <c r="A10" s="132">
        <v>1912</v>
      </c>
      <c r="B10" s="29">
        <f t="shared" si="0"/>
        <v>3239.165601867289</v>
      </c>
      <c r="C10" s="30">
        <f t="shared" si="0"/>
        <v>5679.653458213256</v>
      </c>
      <c r="D10" s="30">
        <f t="shared" si="0"/>
        <v>11821.786424191161</v>
      </c>
      <c r="E10" s="30">
        <f t="shared" si="0"/>
        <v>24789.5791272052</v>
      </c>
      <c r="F10" s="30">
        <f t="shared" si="0"/>
        <v>53398.70615060357</v>
      </c>
      <c r="G10" s="30">
        <f t="shared" si="0"/>
        <v>65113.69572261828</v>
      </c>
      <c r="H10" s="161">
        <f t="shared" si="0"/>
        <v>93220.80090909092</v>
      </c>
    </row>
    <row r="11" spans="1:8" ht="18" customHeight="1">
      <c r="A11" s="132">
        <v>1922</v>
      </c>
      <c r="B11" s="29">
        <f t="shared" si="0"/>
        <v>8408.374918414918</v>
      </c>
      <c r="C11" s="30">
        <f t="shared" si="0"/>
        <v>12266.339511059374</v>
      </c>
      <c r="D11" s="30">
        <f t="shared" si="0"/>
        <v>24689.86532495904</v>
      </c>
      <c r="E11" s="30">
        <f t="shared" si="0"/>
        <v>32931.130332468754</v>
      </c>
      <c r="F11" s="30">
        <f t="shared" si="0"/>
        <v>57408.15125052105</v>
      </c>
      <c r="G11" s="30">
        <f t="shared" si="0"/>
        <v>108097.1400842894</v>
      </c>
      <c r="H11" s="161">
        <f t="shared" si="0"/>
        <v>121030.49101071263</v>
      </c>
    </row>
    <row r="12" spans="1:8" ht="18" customHeight="1">
      <c r="A12" s="132">
        <v>1927</v>
      </c>
      <c r="B12" s="29">
        <f t="shared" si="0"/>
        <v>10689.63636767318</v>
      </c>
      <c r="C12" s="30">
        <f t="shared" si="0"/>
        <v>21516.62768263944</v>
      </c>
      <c r="D12" s="30">
        <f t="shared" si="0"/>
        <v>41591.7832913518</v>
      </c>
      <c r="E12" s="30">
        <f t="shared" si="0"/>
        <v>81234.7554404145</v>
      </c>
      <c r="F12" s="30">
        <f t="shared" si="0"/>
        <v>104580.75780959465</v>
      </c>
      <c r="G12" s="30">
        <f t="shared" si="0"/>
        <v>106713.067902224</v>
      </c>
      <c r="H12" s="161">
        <f t="shared" si="0"/>
        <v>155011.32673651533</v>
      </c>
    </row>
    <row r="13" spans="1:8" ht="18" customHeight="1">
      <c r="A13" s="132">
        <v>1932</v>
      </c>
      <c r="B13" s="29">
        <f t="shared" si="0"/>
        <v>14809.962655991165</v>
      </c>
      <c r="C13" s="30">
        <f t="shared" si="0"/>
        <v>22137.47724489796</v>
      </c>
      <c r="D13" s="30">
        <f t="shared" si="0"/>
        <v>32556.8148611535</v>
      </c>
      <c r="E13" s="30">
        <f t="shared" si="0"/>
        <v>61425.3824358678</v>
      </c>
      <c r="F13" s="30">
        <f t="shared" si="0"/>
        <v>165533.76955336548</v>
      </c>
      <c r="G13" s="30">
        <f t="shared" si="0"/>
        <v>165712.14063674552</v>
      </c>
      <c r="H13" s="161">
        <f t="shared" si="0"/>
        <v>178898.9299378882</v>
      </c>
    </row>
    <row r="14" spans="1:8" ht="18" customHeight="1">
      <c r="A14" s="132">
        <v>1937</v>
      </c>
      <c r="B14" s="29">
        <f t="shared" si="0"/>
        <v>14752.821439722462</v>
      </c>
      <c r="C14" s="30">
        <f t="shared" si="0"/>
        <v>23810.48076561766</v>
      </c>
      <c r="D14" s="30">
        <f t="shared" si="0"/>
        <v>63599.162121751506</v>
      </c>
      <c r="E14" s="30">
        <f t="shared" si="0"/>
        <v>60041.75543478261</v>
      </c>
      <c r="F14" s="30">
        <f t="shared" si="0"/>
        <v>100526.5121034333</v>
      </c>
      <c r="G14" s="30">
        <f t="shared" si="0"/>
        <v>144036.22009836798</v>
      </c>
      <c r="H14" s="161">
        <f t="shared" si="0"/>
        <v>178386.91528686945</v>
      </c>
    </row>
    <row r="15" spans="1:8" ht="4.5" customHeight="1">
      <c r="A15" s="132"/>
      <c r="B15" s="29"/>
      <c r="C15" s="30"/>
      <c r="D15" s="30"/>
      <c r="E15" s="30"/>
      <c r="F15" s="30"/>
      <c r="G15" s="30"/>
      <c r="H15" s="161"/>
    </row>
    <row r="16" spans="1:8" ht="18" customHeight="1">
      <c r="A16" s="389"/>
      <c r="B16" s="358" t="s">
        <v>32</v>
      </c>
      <c r="C16" s="350"/>
      <c r="D16" s="351"/>
      <c r="E16" s="351"/>
      <c r="F16" s="351"/>
      <c r="G16" s="351"/>
      <c r="H16" s="362"/>
    </row>
    <row r="17" spans="1:8" ht="18" customHeight="1">
      <c r="A17" s="390"/>
      <c r="B17" s="360"/>
      <c r="C17" s="339"/>
      <c r="D17" s="339"/>
      <c r="E17" s="339"/>
      <c r="F17" s="339"/>
      <c r="G17" s="339"/>
      <c r="H17" s="326"/>
    </row>
    <row r="18" spans="1:8" ht="18" customHeight="1">
      <c r="A18" s="391"/>
      <c r="B18" s="17" t="s">
        <v>23</v>
      </c>
      <c r="C18" s="16" t="s">
        <v>24</v>
      </c>
      <c r="D18" s="16" t="s">
        <v>25</v>
      </c>
      <c r="E18" s="16" t="s">
        <v>26</v>
      </c>
      <c r="F18" s="16" t="s">
        <v>27</v>
      </c>
      <c r="G18" s="16" t="s">
        <v>28</v>
      </c>
      <c r="H18" s="182" t="s">
        <v>29</v>
      </c>
    </row>
    <row r="19" spans="1:8" ht="18" customHeight="1">
      <c r="A19" s="132">
        <v>1872</v>
      </c>
      <c r="B19" s="21">
        <f aca="true" t="shared" si="1" ref="B19:H20">B8/$E8</f>
        <v>0.18923393816503756</v>
      </c>
      <c r="C19" s="22">
        <f t="shared" si="1"/>
        <v>0.2902846656004428</v>
      </c>
      <c r="D19" s="22">
        <f t="shared" si="1"/>
        <v>1.0815139551898099</v>
      </c>
      <c r="E19" s="22">
        <f t="shared" si="1"/>
        <v>1</v>
      </c>
      <c r="F19" s="22">
        <f t="shared" si="1"/>
        <v>2.1146750627563726</v>
      </c>
      <c r="G19" s="22">
        <f t="shared" si="1"/>
        <v>2.500119595442201</v>
      </c>
      <c r="H19" s="183">
        <f t="shared" si="1"/>
        <v>3.0125904531782917</v>
      </c>
    </row>
    <row r="20" spans="1:8" ht="18" customHeight="1">
      <c r="A20" s="132">
        <v>1882</v>
      </c>
      <c r="B20" s="21">
        <f t="shared" si="1"/>
        <v>0.11947981239652385</v>
      </c>
      <c r="C20" s="22">
        <f t="shared" si="1"/>
        <v>0.20985070344057102</v>
      </c>
      <c r="D20" s="22">
        <f t="shared" si="1"/>
        <v>0.5041175617685733</v>
      </c>
      <c r="E20" s="22">
        <f t="shared" si="1"/>
        <v>1</v>
      </c>
      <c r="F20" s="22">
        <f t="shared" si="1"/>
        <v>1.5705510539396863</v>
      </c>
      <c r="G20" s="22">
        <f t="shared" si="1"/>
        <v>2.4081108089823133</v>
      </c>
      <c r="H20" s="183">
        <f t="shared" si="1"/>
        <v>3.8540155476255284</v>
      </c>
    </row>
    <row r="21" spans="1:8" ht="18" customHeight="1">
      <c r="A21" s="132">
        <v>1912</v>
      </c>
      <c r="B21" s="21">
        <f aca="true" t="shared" si="2" ref="B21:H22">B10/$E10</f>
        <v>0.13066642177528873</v>
      </c>
      <c r="C21" s="22">
        <f t="shared" si="2"/>
        <v>0.22911455773688988</v>
      </c>
      <c r="D21" s="22">
        <f t="shared" si="2"/>
        <v>0.4768853219947329</v>
      </c>
      <c r="E21" s="22">
        <f t="shared" si="2"/>
        <v>1</v>
      </c>
      <c r="F21" s="22">
        <f t="shared" si="2"/>
        <v>2.154078771430267</v>
      </c>
      <c r="G21" s="22">
        <f t="shared" si="2"/>
        <v>2.6266559584773095</v>
      </c>
      <c r="H21" s="183">
        <f t="shared" si="2"/>
        <v>3.760483404366725</v>
      </c>
    </row>
    <row r="22" spans="1:8" ht="18" customHeight="1">
      <c r="A22" s="132">
        <v>1922</v>
      </c>
      <c r="B22" s="21">
        <f t="shared" si="2"/>
        <v>0.2553321077510845</v>
      </c>
      <c r="C22" s="22">
        <f t="shared" si="2"/>
        <v>0.372484618269093</v>
      </c>
      <c r="D22" s="22">
        <f t="shared" si="2"/>
        <v>0.7497424192760197</v>
      </c>
      <c r="E22" s="22">
        <f t="shared" si="2"/>
        <v>1</v>
      </c>
      <c r="F22" s="22">
        <f t="shared" si="2"/>
        <v>1.7432791000775016</v>
      </c>
      <c r="G22" s="22">
        <f t="shared" si="2"/>
        <v>3.2825214012684536</v>
      </c>
      <c r="H22" s="183">
        <f t="shared" si="2"/>
        <v>3.6752607574900487</v>
      </c>
    </row>
    <row r="23" spans="1:8" ht="18" customHeight="1">
      <c r="A23" s="132">
        <v>1927</v>
      </c>
      <c r="B23" s="21">
        <f aca="true" t="shared" si="3" ref="B23:H23">B12/$E12</f>
        <v>0.1315894448099127</v>
      </c>
      <c r="C23" s="22">
        <f t="shared" si="3"/>
        <v>0.26486972929243113</v>
      </c>
      <c r="D23" s="22">
        <f t="shared" si="3"/>
        <v>0.5119949345063182</v>
      </c>
      <c r="E23" s="22">
        <f t="shared" si="3"/>
        <v>1</v>
      </c>
      <c r="F23" s="22">
        <f t="shared" si="3"/>
        <v>1.2873893352987857</v>
      </c>
      <c r="G23" s="22">
        <f t="shared" si="3"/>
        <v>1.313638076752724</v>
      </c>
      <c r="H23" s="183">
        <f t="shared" si="3"/>
        <v>1.9081897384453352</v>
      </c>
    </row>
    <row r="24" spans="1:8" ht="18" customHeight="1">
      <c r="A24" s="132">
        <v>1932</v>
      </c>
      <c r="B24" s="21">
        <f aca="true" t="shared" si="4" ref="B24:H25">B13/$E13</f>
        <v>0.241104932011677</v>
      </c>
      <c r="C24" s="22">
        <f t="shared" si="4"/>
        <v>0.3603962460960005</v>
      </c>
      <c r="D24" s="22">
        <f t="shared" si="4"/>
        <v>0.5300221760140441</v>
      </c>
      <c r="E24" s="22">
        <f t="shared" si="4"/>
        <v>1</v>
      </c>
      <c r="F24" s="22">
        <f t="shared" si="4"/>
        <v>2.694875684757743</v>
      </c>
      <c r="G24" s="22">
        <f t="shared" si="4"/>
        <v>2.6977795508194036</v>
      </c>
      <c r="H24" s="183">
        <f t="shared" si="4"/>
        <v>2.9124593587133236</v>
      </c>
    </row>
    <row r="25" spans="1:8" ht="18" customHeight="1">
      <c r="A25" s="132">
        <v>1937</v>
      </c>
      <c r="B25" s="21">
        <f t="shared" si="4"/>
        <v>0.24570936230781903</v>
      </c>
      <c r="C25" s="22">
        <f t="shared" si="4"/>
        <v>0.3965653667718063</v>
      </c>
      <c r="D25" s="22">
        <f t="shared" si="4"/>
        <v>1.0592488787379468</v>
      </c>
      <c r="E25" s="22">
        <f t="shared" si="4"/>
        <v>1</v>
      </c>
      <c r="F25" s="22">
        <f t="shared" si="4"/>
        <v>1.6742766991985312</v>
      </c>
      <c r="G25" s="22">
        <f t="shared" si="4"/>
        <v>2.39893419263566</v>
      </c>
      <c r="H25" s="183">
        <f t="shared" si="4"/>
        <v>2.971047631687475</v>
      </c>
    </row>
    <row r="26" spans="1:8" ht="4.5" customHeight="1">
      <c r="A26" s="184"/>
      <c r="B26" s="24"/>
      <c r="C26" s="7"/>
      <c r="D26" s="7"/>
      <c r="E26" s="7"/>
      <c r="F26" s="7"/>
      <c r="G26" s="7"/>
      <c r="H26" s="185"/>
    </row>
    <row r="27" spans="1:8" ht="18" customHeight="1">
      <c r="A27" s="389"/>
      <c r="B27" s="358" t="s">
        <v>105</v>
      </c>
      <c r="C27" s="350"/>
      <c r="D27" s="351"/>
      <c r="E27" s="351"/>
      <c r="F27" s="351"/>
      <c r="G27" s="351"/>
      <c r="H27" s="362"/>
    </row>
    <row r="28" spans="1:8" ht="18" customHeight="1">
      <c r="A28" s="390"/>
      <c r="B28" s="360"/>
      <c r="C28" s="339"/>
      <c r="D28" s="339"/>
      <c r="E28" s="339"/>
      <c r="F28" s="339"/>
      <c r="G28" s="339"/>
      <c r="H28" s="326"/>
    </row>
    <row r="29" spans="1:8" ht="18" customHeight="1">
      <c r="A29" s="391"/>
      <c r="B29" s="17" t="s">
        <v>23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82" t="s">
        <v>29</v>
      </c>
    </row>
    <row r="30" spans="1:8" ht="1.5" customHeight="1">
      <c r="A30" s="130"/>
      <c r="B30" s="19" t="s">
        <v>209</v>
      </c>
      <c r="C30" s="6" t="s">
        <v>210</v>
      </c>
      <c r="D30" s="6" t="s">
        <v>211</v>
      </c>
      <c r="E30" s="6" t="s">
        <v>212</v>
      </c>
      <c r="F30" s="12" t="s">
        <v>122</v>
      </c>
      <c r="G30" s="12" t="s">
        <v>123</v>
      </c>
      <c r="H30" s="131" t="s">
        <v>124</v>
      </c>
    </row>
    <row r="31" spans="1:8" ht="18" customHeight="1">
      <c r="A31" s="132">
        <v>1872</v>
      </c>
      <c r="B31" s="29">
        <v>32687.76</v>
      </c>
      <c r="C31" s="30">
        <v>29977.78</v>
      </c>
      <c r="D31" s="30">
        <v>80725.45</v>
      </c>
      <c r="E31" s="30">
        <v>68997.55</v>
      </c>
      <c r="F31" s="30">
        <v>116828.1</v>
      </c>
      <c r="G31" s="30">
        <v>132046</v>
      </c>
      <c r="H31" s="161">
        <v>136371</v>
      </c>
    </row>
    <row r="32" spans="1:8" ht="18" customHeight="1">
      <c r="A32" s="132">
        <v>1882</v>
      </c>
      <c r="B32" s="29">
        <v>29893</v>
      </c>
      <c r="C32" s="30">
        <v>30774.31</v>
      </c>
      <c r="D32" s="30">
        <v>52687.62</v>
      </c>
      <c r="E32" s="30">
        <v>87030.33</v>
      </c>
      <c r="F32" s="30">
        <v>121243.7</v>
      </c>
      <c r="G32" s="30">
        <v>164705.5</v>
      </c>
      <c r="H32" s="161">
        <v>208522.2</v>
      </c>
    </row>
    <row r="33" spans="1:8" ht="18" customHeight="1">
      <c r="A33" s="132">
        <v>1912</v>
      </c>
      <c r="B33" s="29">
        <v>21163.96</v>
      </c>
      <c r="C33" s="30">
        <v>25294.2</v>
      </c>
      <c r="D33" s="30">
        <v>42741</v>
      </c>
      <c r="E33" s="30">
        <v>81397.49</v>
      </c>
      <c r="F33" s="30">
        <v>168188.2</v>
      </c>
      <c r="G33" s="30">
        <v>205741.5</v>
      </c>
      <c r="H33" s="161">
        <v>280939.4</v>
      </c>
    </row>
    <row r="34" spans="1:8" ht="18" customHeight="1">
      <c r="A34" s="132">
        <v>1922</v>
      </c>
      <c r="B34" s="29">
        <v>62192.98</v>
      </c>
      <c r="C34" s="30">
        <v>51650.91</v>
      </c>
      <c r="D34" s="30">
        <v>77542.27</v>
      </c>
      <c r="E34" s="30">
        <v>88058.59</v>
      </c>
      <c r="F34" s="30">
        <v>152263.3</v>
      </c>
      <c r="G34" s="30">
        <v>303938.7</v>
      </c>
      <c r="H34" s="161">
        <v>348327.7</v>
      </c>
    </row>
    <row r="35" spans="1:8" ht="18" customHeight="1">
      <c r="A35" s="132">
        <v>1927</v>
      </c>
      <c r="B35" s="29">
        <v>75701.45</v>
      </c>
      <c r="C35" s="30">
        <v>85864.16</v>
      </c>
      <c r="D35" s="30">
        <v>134001.3</v>
      </c>
      <c r="E35" s="30">
        <v>217000.8</v>
      </c>
      <c r="F35" s="30">
        <v>283628.5</v>
      </c>
      <c r="G35" s="30">
        <v>342952.3</v>
      </c>
      <c r="H35" s="161">
        <v>512791</v>
      </c>
    </row>
    <row r="36" spans="1:8" ht="18" customHeight="1">
      <c r="A36" s="132">
        <v>1932</v>
      </c>
      <c r="B36" s="29">
        <v>75128.41</v>
      </c>
      <c r="C36" s="30">
        <v>88189.95</v>
      </c>
      <c r="D36" s="30">
        <v>92131.85</v>
      </c>
      <c r="E36" s="30">
        <v>145557.3</v>
      </c>
      <c r="F36" s="30">
        <v>374137.7</v>
      </c>
      <c r="G36" s="30">
        <v>402316.7</v>
      </c>
      <c r="H36" s="161">
        <v>469099.8</v>
      </c>
    </row>
    <row r="37" spans="1:8" ht="18" customHeight="1">
      <c r="A37" s="132">
        <v>1937</v>
      </c>
      <c r="B37" s="29">
        <v>64431.83</v>
      </c>
      <c r="C37" s="30">
        <v>79830.73</v>
      </c>
      <c r="D37" s="30">
        <v>171284.8</v>
      </c>
      <c r="E37" s="30">
        <v>128532.6</v>
      </c>
      <c r="F37" s="30">
        <v>206805.1</v>
      </c>
      <c r="G37" s="30">
        <v>310493.5</v>
      </c>
      <c r="H37" s="161">
        <v>425019.1</v>
      </c>
    </row>
    <row r="38" spans="1:8" ht="4.5" customHeight="1">
      <c r="A38" s="184"/>
      <c r="B38" s="24"/>
      <c r="C38" s="7"/>
      <c r="D38" s="7"/>
      <c r="E38" s="7"/>
      <c r="F38" s="7"/>
      <c r="G38" s="7"/>
      <c r="H38" s="185"/>
    </row>
    <row r="39" spans="1:8" ht="18" customHeight="1">
      <c r="A39" s="389"/>
      <c r="B39" s="358" t="s">
        <v>106</v>
      </c>
      <c r="C39" s="350"/>
      <c r="D39" s="351"/>
      <c r="E39" s="351"/>
      <c r="F39" s="351"/>
      <c r="G39" s="351"/>
      <c r="H39" s="362"/>
    </row>
    <row r="40" spans="1:8" ht="18" customHeight="1">
      <c r="A40" s="390"/>
      <c r="B40" s="360"/>
      <c r="C40" s="339"/>
      <c r="D40" s="339"/>
      <c r="E40" s="339"/>
      <c r="F40" s="339"/>
      <c r="G40" s="339"/>
      <c r="H40" s="326"/>
    </row>
    <row r="41" spans="1:8" ht="18" customHeight="1">
      <c r="A41" s="391"/>
      <c r="B41" s="17" t="s">
        <v>23</v>
      </c>
      <c r="C41" s="16" t="s">
        <v>24</v>
      </c>
      <c r="D41" s="16" t="s">
        <v>25</v>
      </c>
      <c r="E41" s="16" t="s">
        <v>26</v>
      </c>
      <c r="F41" s="16" t="s">
        <v>27</v>
      </c>
      <c r="G41" s="16" t="s">
        <v>28</v>
      </c>
      <c r="H41" s="182" t="s">
        <v>29</v>
      </c>
    </row>
    <row r="42" spans="1:8" ht="18" customHeight="1">
      <c r="A42" s="132">
        <v>1872</v>
      </c>
      <c r="B42" s="21">
        <f aca="true" t="shared" si="5" ref="B42:H43">B31/$E31</f>
        <v>0.4737524738197225</v>
      </c>
      <c r="C42" s="22">
        <f t="shared" si="5"/>
        <v>0.4344760067567616</v>
      </c>
      <c r="D42" s="22">
        <f t="shared" si="5"/>
        <v>1.1699756005829192</v>
      </c>
      <c r="E42" s="22">
        <f t="shared" si="5"/>
        <v>1</v>
      </c>
      <c r="F42" s="22">
        <f t="shared" si="5"/>
        <v>1.6932209911801217</v>
      </c>
      <c r="G42" s="22">
        <f t="shared" si="5"/>
        <v>1.9137780979179695</v>
      </c>
      <c r="H42" s="183">
        <f t="shared" si="5"/>
        <v>1.976461483052659</v>
      </c>
    </row>
    <row r="43" spans="1:8" ht="18" customHeight="1">
      <c r="A43" s="132">
        <v>1882</v>
      </c>
      <c r="B43" s="21">
        <f t="shared" si="5"/>
        <v>0.34347795762695604</v>
      </c>
      <c r="C43" s="22">
        <f t="shared" si="5"/>
        <v>0.35360442733010433</v>
      </c>
      <c r="D43" s="22">
        <f t="shared" si="5"/>
        <v>0.6053937747909264</v>
      </c>
      <c r="E43" s="22">
        <f t="shared" si="5"/>
        <v>1</v>
      </c>
      <c r="F43" s="22">
        <f t="shared" si="5"/>
        <v>1.3931200766445444</v>
      </c>
      <c r="G43" s="22">
        <f t="shared" si="5"/>
        <v>1.8925068996061487</v>
      </c>
      <c r="H43" s="183">
        <f t="shared" si="5"/>
        <v>2.395971611276207</v>
      </c>
    </row>
    <row r="44" spans="1:8" ht="18" customHeight="1">
      <c r="A44" s="132">
        <v>1912</v>
      </c>
      <c r="B44" s="21">
        <f aca="true" t="shared" si="6" ref="B44:H45">B33/$E33</f>
        <v>0.2600075260305938</v>
      </c>
      <c r="C44" s="22">
        <f t="shared" si="6"/>
        <v>0.31074913980762797</v>
      </c>
      <c r="D44" s="22">
        <f t="shared" si="6"/>
        <v>0.5250899014207931</v>
      </c>
      <c r="E44" s="22">
        <f t="shared" si="6"/>
        <v>1</v>
      </c>
      <c r="F44" s="22">
        <f t="shared" si="6"/>
        <v>2.0662578170407957</v>
      </c>
      <c r="G44" s="22">
        <f t="shared" si="6"/>
        <v>2.527614795001664</v>
      </c>
      <c r="H44" s="183">
        <f t="shared" si="6"/>
        <v>3.451450407131719</v>
      </c>
    </row>
    <row r="45" spans="1:8" ht="18" customHeight="1">
      <c r="A45" s="132">
        <v>1922</v>
      </c>
      <c r="B45" s="21">
        <f t="shared" si="6"/>
        <v>0.7062681789476757</v>
      </c>
      <c r="C45" s="22">
        <f t="shared" si="6"/>
        <v>0.5865516356780185</v>
      </c>
      <c r="D45" s="22">
        <f t="shared" si="6"/>
        <v>0.880575875675502</v>
      </c>
      <c r="E45" s="22">
        <f t="shared" si="6"/>
        <v>1</v>
      </c>
      <c r="F45" s="22">
        <f t="shared" si="6"/>
        <v>1.7291135367940822</v>
      </c>
      <c r="G45" s="22">
        <f t="shared" si="6"/>
        <v>3.4515508367781047</v>
      </c>
      <c r="H45" s="183">
        <f t="shared" si="6"/>
        <v>3.955635673930278</v>
      </c>
    </row>
    <row r="46" spans="1:8" ht="18" customHeight="1">
      <c r="A46" s="132">
        <v>1927</v>
      </c>
      <c r="B46" s="21">
        <f aca="true" t="shared" si="7" ref="B46:H46">B35/$E35</f>
        <v>0.3488533221997338</v>
      </c>
      <c r="C46" s="22">
        <f t="shared" si="7"/>
        <v>0.39568591452197416</v>
      </c>
      <c r="D46" s="22">
        <f t="shared" si="7"/>
        <v>0.6175152349668757</v>
      </c>
      <c r="E46" s="22">
        <f t="shared" si="7"/>
        <v>1</v>
      </c>
      <c r="F46" s="22">
        <f t="shared" si="7"/>
        <v>1.3070389602250314</v>
      </c>
      <c r="G46" s="22">
        <f t="shared" si="7"/>
        <v>1.5804195191907127</v>
      </c>
      <c r="H46" s="183">
        <f t="shared" si="7"/>
        <v>2.3630834540702157</v>
      </c>
    </row>
    <row r="47" spans="1:8" ht="18" customHeight="1">
      <c r="A47" s="132">
        <v>1932</v>
      </c>
      <c r="B47" s="21">
        <f aca="true" t="shared" si="8" ref="B47:H48">B36/$E36</f>
        <v>0.516143195841088</v>
      </c>
      <c r="C47" s="22">
        <f t="shared" si="8"/>
        <v>0.6058778913871032</v>
      </c>
      <c r="D47" s="22">
        <f t="shared" si="8"/>
        <v>0.6329593225485772</v>
      </c>
      <c r="E47" s="22">
        <f t="shared" si="8"/>
        <v>1</v>
      </c>
      <c r="F47" s="22">
        <f t="shared" si="8"/>
        <v>2.570380874061281</v>
      </c>
      <c r="G47" s="22">
        <f t="shared" si="8"/>
        <v>2.7639747370966625</v>
      </c>
      <c r="H47" s="183">
        <f t="shared" si="8"/>
        <v>3.2227844292247796</v>
      </c>
    </row>
    <row r="48" spans="1:8" ht="18" customHeight="1">
      <c r="A48" s="132">
        <v>1937</v>
      </c>
      <c r="B48" s="21">
        <f t="shared" si="8"/>
        <v>0.5012878444845899</v>
      </c>
      <c r="C48" s="22">
        <f t="shared" si="8"/>
        <v>0.6210932479386552</v>
      </c>
      <c r="D48" s="22">
        <f t="shared" si="8"/>
        <v>1.3326175616147187</v>
      </c>
      <c r="E48" s="22">
        <f t="shared" si="8"/>
        <v>1</v>
      </c>
      <c r="F48" s="22">
        <f t="shared" si="8"/>
        <v>1.6089700200571684</v>
      </c>
      <c r="G48" s="22">
        <f t="shared" si="8"/>
        <v>2.4156789794962523</v>
      </c>
      <c r="H48" s="183">
        <f t="shared" si="8"/>
        <v>3.3067027353371827</v>
      </c>
    </row>
    <row r="49" spans="1:8" ht="4.5" customHeight="1">
      <c r="A49" s="194"/>
      <c r="B49" s="50"/>
      <c r="C49" s="47"/>
      <c r="D49" s="47"/>
      <c r="E49" s="47"/>
      <c r="F49" s="47"/>
      <c r="G49" s="47"/>
      <c r="H49" s="166"/>
    </row>
    <row r="50" spans="1:8" ht="18" customHeight="1">
      <c r="A50" s="389"/>
      <c r="B50" s="358" t="s">
        <v>107</v>
      </c>
      <c r="C50" s="350"/>
      <c r="D50" s="351"/>
      <c r="E50" s="351"/>
      <c r="F50" s="351"/>
      <c r="G50" s="351"/>
      <c r="H50" s="362"/>
    </row>
    <row r="51" spans="1:8" ht="18" customHeight="1">
      <c r="A51" s="390"/>
      <c r="B51" s="360"/>
      <c r="C51" s="339"/>
      <c r="D51" s="339"/>
      <c r="E51" s="339"/>
      <c r="F51" s="339"/>
      <c r="G51" s="339"/>
      <c r="H51" s="326"/>
    </row>
    <row r="52" spans="1:8" ht="18" customHeight="1">
      <c r="A52" s="391"/>
      <c r="B52" s="17" t="s">
        <v>23</v>
      </c>
      <c r="C52" s="16" t="s">
        <v>24</v>
      </c>
      <c r="D52" s="16" t="s">
        <v>25</v>
      </c>
      <c r="E52" s="16" t="s">
        <v>26</v>
      </c>
      <c r="F52" s="16" t="s">
        <v>27</v>
      </c>
      <c r="G52" s="16" t="s">
        <v>28</v>
      </c>
      <c r="H52" s="182" t="s">
        <v>29</v>
      </c>
    </row>
    <row r="53" spans="1:8" ht="18" customHeight="1">
      <c r="A53" s="132">
        <v>1872</v>
      </c>
      <c r="B53" s="21">
        <f aca="true" t="shared" si="9" ref="B53:H59">B65/B87</f>
        <v>0.12274509803921568</v>
      </c>
      <c r="C53" s="22">
        <f t="shared" si="9"/>
        <v>0.20531227566403445</v>
      </c>
      <c r="D53" s="22">
        <f t="shared" si="9"/>
        <v>0.28406121687196717</v>
      </c>
      <c r="E53" s="22">
        <f t="shared" si="9"/>
        <v>0.30729579698651865</v>
      </c>
      <c r="F53" s="22">
        <f t="shared" si="9"/>
        <v>0.3837837837837838</v>
      </c>
      <c r="G53" s="22">
        <f t="shared" si="9"/>
        <v>0.40144478844169246</v>
      </c>
      <c r="H53" s="183">
        <f t="shared" si="9"/>
        <v>0.46839080459770116</v>
      </c>
    </row>
    <row r="54" spans="1:8" ht="18" customHeight="1">
      <c r="A54" s="132">
        <v>1882</v>
      </c>
      <c r="B54" s="21">
        <f t="shared" si="9"/>
        <v>0.1005278310940499</v>
      </c>
      <c r="C54" s="22">
        <f t="shared" si="9"/>
        <v>0.1715076071922545</v>
      </c>
      <c r="D54" s="22">
        <f t="shared" si="9"/>
        <v>0.24064925899788286</v>
      </c>
      <c r="E54" s="22">
        <f t="shared" si="9"/>
        <v>0.2889952153110048</v>
      </c>
      <c r="F54" s="22">
        <f t="shared" si="9"/>
        <v>0.3258023106546855</v>
      </c>
      <c r="G54" s="22">
        <f t="shared" si="9"/>
        <v>0.3677304964539007</v>
      </c>
      <c r="H54" s="183">
        <f t="shared" si="9"/>
        <v>0.46486028789161726</v>
      </c>
    </row>
    <row r="55" spans="1:8" ht="18" customHeight="1">
      <c r="A55" s="132">
        <v>1912</v>
      </c>
      <c r="B55" s="21">
        <f t="shared" si="9"/>
        <v>0.15305101700566856</v>
      </c>
      <c r="C55" s="22">
        <f t="shared" si="9"/>
        <v>0.22454370797310277</v>
      </c>
      <c r="D55" s="22">
        <f t="shared" si="9"/>
        <v>0.2765912455064496</v>
      </c>
      <c r="E55" s="22">
        <f t="shared" si="9"/>
        <v>0.3045496750232126</v>
      </c>
      <c r="F55" s="22">
        <f t="shared" si="9"/>
        <v>0.317493772753401</v>
      </c>
      <c r="G55" s="22">
        <f t="shared" si="9"/>
        <v>0.31648304169367036</v>
      </c>
      <c r="H55" s="183">
        <f t="shared" si="9"/>
        <v>0.33181818181818185</v>
      </c>
    </row>
    <row r="56" spans="1:8" ht="18" customHeight="1">
      <c r="A56" s="132">
        <v>1922</v>
      </c>
      <c r="B56" s="21">
        <f t="shared" si="9"/>
        <v>0.1351981351981352</v>
      </c>
      <c r="C56" s="22">
        <f t="shared" si="9"/>
        <v>0.23748544819557627</v>
      </c>
      <c r="D56" s="22">
        <f t="shared" si="9"/>
        <v>0.318405243036592</v>
      </c>
      <c r="E56" s="22">
        <f t="shared" si="9"/>
        <v>0.37396840367837775</v>
      </c>
      <c r="F56" s="22">
        <f t="shared" si="9"/>
        <v>0.37703209670696125</v>
      </c>
      <c r="G56" s="22">
        <f t="shared" si="9"/>
        <v>0.355654413486303</v>
      </c>
      <c r="H56" s="183">
        <f t="shared" si="9"/>
        <v>0.3474615742897066</v>
      </c>
    </row>
    <row r="57" spans="1:8" ht="18" customHeight="1">
      <c r="A57" s="132">
        <v>1927</v>
      </c>
      <c r="B57" s="21">
        <f t="shared" si="9"/>
        <v>0.14120781527531084</v>
      </c>
      <c r="C57" s="22">
        <f t="shared" si="9"/>
        <v>0.25058915946582877</v>
      </c>
      <c r="D57" s="22">
        <f t="shared" si="9"/>
        <v>0.31038343129023227</v>
      </c>
      <c r="E57" s="22">
        <f t="shared" si="9"/>
        <v>0.3743523316062176</v>
      </c>
      <c r="F57" s="22">
        <f t="shared" si="9"/>
        <v>0.3687244328746746</v>
      </c>
      <c r="G57" s="22">
        <f t="shared" si="9"/>
        <v>0.3111600881586856</v>
      </c>
      <c r="H57" s="183">
        <f t="shared" si="9"/>
        <v>0.30228948389600313</v>
      </c>
    </row>
    <row r="58" spans="1:8" ht="18" customHeight="1">
      <c r="A58" s="132">
        <v>1932</v>
      </c>
      <c r="B58" s="21">
        <f t="shared" si="9"/>
        <v>0.19712865819988956</v>
      </c>
      <c r="C58" s="22">
        <f t="shared" si="9"/>
        <v>0.2510204081632653</v>
      </c>
      <c r="D58" s="22">
        <f t="shared" si="9"/>
        <v>0.35337198657308516</v>
      </c>
      <c r="E58" s="22">
        <f t="shared" si="9"/>
        <v>0.42200138664201525</v>
      </c>
      <c r="F58" s="22">
        <f t="shared" si="9"/>
        <v>0.4424407632627385</v>
      </c>
      <c r="G58" s="22">
        <f t="shared" si="9"/>
        <v>0.41189476011496795</v>
      </c>
      <c r="H58" s="183">
        <f t="shared" si="9"/>
        <v>0.3813664596273292</v>
      </c>
    </row>
    <row r="59" spans="1:8" ht="18" customHeight="1">
      <c r="A59" s="132">
        <v>1937</v>
      </c>
      <c r="B59" s="21">
        <f t="shared" si="9"/>
        <v>0.22896790980052037</v>
      </c>
      <c r="C59" s="22">
        <f t="shared" si="9"/>
        <v>0.2982620948802255</v>
      </c>
      <c r="D59" s="22">
        <f t="shared" si="9"/>
        <v>0.3713065147739409</v>
      </c>
      <c r="E59" s="22">
        <f t="shared" si="9"/>
        <v>0.4671325051759834</v>
      </c>
      <c r="F59" s="22">
        <f t="shared" si="9"/>
        <v>0.4860930030421556</v>
      </c>
      <c r="G59" s="22">
        <f t="shared" si="9"/>
        <v>0.46389447797898503</v>
      </c>
      <c r="H59" s="183">
        <f t="shared" si="9"/>
        <v>0.4197150558336542</v>
      </c>
    </row>
    <row r="60" spans="1:8" ht="4.5" customHeight="1">
      <c r="A60" s="194"/>
      <c r="B60" s="50"/>
      <c r="C60" s="47"/>
      <c r="D60" s="47"/>
      <c r="E60" s="47"/>
      <c r="F60" s="47"/>
      <c r="G60" s="47"/>
      <c r="H60" s="166"/>
    </row>
    <row r="61" spans="1:8" ht="18" customHeight="1">
      <c r="A61" s="389"/>
      <c r="B61" s="358" t="s">
        <v>108</v>
      </c>
      <c r="C61" s="350"/>
      <c r="D61" s="351"/>
      <c r="E61" s="351"/>
      <c r="F61" s="351"/>
      <c r="G61" s="351"/>
      <c r="H61" s="362"/>
    </row>
    <row r="62" spans="1:8" ht="18" customHeight="1">
      <c r="A62" s="390"/>
      <c r="B62" s="360"/>
      <c r="C62" s="339"/>
      <c r="D62" s="339"/>
      <c r="E62" s="339"/>
      <c r="F62" s="339"/>
      <c r="G62" s="339"/>
      <c r="H62" s="326"/>
    </row>
    <row r="63" spans="1:8" ht="18" customHeight="1">
      <c r="A63" s="391"/>
      <c r="B63" s="17" t="s">
        <v>23</v>
      </c>
      <c r="C63" s="16" t="s">
        <v>24</v>
      </c>
      <c r="D63" s="16" t="s">
        <v>25</v>
      </c>
      <c r="E63" s="16" t="s">
        <v>26</v>
      </c>
      <c r="F63" s="16" t="s">
        <v>27</v>
      </c>
      <c r="G63" s="16" t="s">
        <v>28</v>
      </c>
      <c r="H63" s="182" t="s">
        <v>29</v>
      </c>
    </row>
    <row r="64" spans="1:8" ht="1.5" customHeight="1">
      <c r="A64" s="130"/>
      <c r="B64" s="19" t="s">
        <v>209</v>
      </c>
      <c r="C64" s="6" t="s">
        <v>210</v>
      </c>
      <c r="D64" s="6" t="s">
        <v>211</v>
      </c>
      <c r="E64" s="6" t="s">
        <v>212</v>
      </c>
      <c r="F64" s="12" t="s">
        <v>122</v>
      </c>
      <c r="G64" s="12" t="s">
        <v>123</v>
      </c>
      <c r="H64" s="131" t="s">
        <v>124</v>
      </c>
    </row>
    <row r="65" spans="1:8" ht="18" customHeight="1">
      <c r="A65" s="132">
        <v>1872</v>
      </c>
      <c r="B65" s="29">
        <v>313</v>
      </c>
      <c r="C65" s="30">
        <v>572</v>
      </c>
      <c r="D65" s="30">
        <v>761</v>
      </c>
      <c r="E65" s="30">
        <v>775</v>
      </c>
      <c r="F65" s="30">
        <v>923</v>
      </c>
      <c r="G65" s="30">
        <v>778</v>
      </c>
      <c r="H65" s="161">
        <v>326</v>
      </c>
    </row>
    <row r="66" spans="1:8" ht="18" customHeight="1">
      <c r="A66" s="132">
        <v>1882</v>
      </c>
      <c r="B66" s="29">
        <v>419</v>
      </c>
      <c r="C66" s="30">
        <v>744</v>
      </c>
      <c r="D66" s="30">
        <v>1023</v>
      </c>
      <c r="E66" s="30">
        <v>1208</v>
      </c>
      <c r="F66" s="30">
        <v>1269</v>
      </c>
      <c r="G66" s="30">
        <v>1037</v>
      </c>
      <c r="H66" s="161">
        <v>549</v>
      </c>
    </row>
    <row r="67" spans="1:8" ht="18" customHeight="1">
      <c r="A67" s="132">
        <v>1912</v>
      </c>
      <c r="B67" s="29">
        <v>459</v>
      </c>
      <c r="C67" s="30">
        <v>935</v>
      </c>
      <c r="D67" s="30">
        <v>1308</v>
      </c>
      <c r="E67" s="30">
        <v>1640</v>
      </c>
      <c r="F67" s="30">
        <v>1657</v>
      </c>
      <c r="G67" s="30">
        <v>1465</v>
      </c>
      <c r="H67" s="161">
        <v>730</v>
      </c>
    </row>
    <row r="68" spans="1:8" ht="18" customHeight="1">
      <c r="A68" s="132">
        <v>1922</v>
      </c>
      <c r="B68" s="29">
        <v>290</v>
      </c>
      <c r="C68" s="30">
        <v>612</v>
      </c>
      <c r="D68" s="30">
        <v>1166</v>
      </c>
      <c r="E68" s="30">
        <v>1586</v>
      </c>
      <c r="F68" s="30">
        <v>1809</v>
      </c>
      <c r="G68" s="30">
        <v>1519</v>
      </c>
      <c r="H68" s="161">
        <v>746</v>
      </c>
    </row>
    <row r="69" spans="1:8" ht="18" customHeight="1">
      <c r="A69" s="132">
        <v>1927</v>
      </c>
      <c r="B69" s="29">
        <v>318</v>
      </c>
      <c r="C69" s="30">
        <v>638</v>
      </c>
      <c r="D69" s="30">
        <v>1109</v>
      </c>
      <c r="E69" s="30">
        <v>1734</v>
      </c>
      <c r="F69" s="30">
        <v>1983</v>
      </c>
      <c r="G69" s="30">
        <v>1553</v>
      </c>
      <c r="H69" s="161">
        <v>779</v>
      </c>
    </row>
    <row r="70" spans="1:8" ht="18" customHeight="1">
      <c r="A70" s="132">
        <v>1932</v>
      </c>
      <c r="B70" s="29">
        <v>357</v>
      </c>
      <c r="C70" s="30">
        <v>615</v>
      </c>
      <c r="D70" s="30">
        <v>1158</v>
      </c>
      <c r="E70" s="30">
        <v>1826</v>
      </c>
      <c r="F70" s="30">
        <v>2110</v>
      </c>
      <c r="G70" s="30">
        <v>1863</v>
      </c>
      <c r="H70" s="161">
        <v>921</v>
      </c>
    </row>
    <row r="71" spans="1:8" ht="18" customHeight="1">
      <c r="A71" s="132">
        <v>1937</v>
      </c>
      <c r="B71" s="29">
        <v>264</v>
      </c>
      <c r="C71" s="30">
        <v>635</v>
      </c>
      <c r="D71" s="30">
        <v>1043</v>
      </c>
      <c r="E71" s="30">
        <v>1805</v>
      </c>
      <c r="F71" s="30">
        <v>2237</v>
      </c>
      <c r="G71" s="30">
        <v>2075</v>
      </c>
      <c r="H71" s="161">
        <v>1090</v>
      </c>
    </row>
    <row r="72" spans="1:8" ht="18" customHeight="1">
      <c r="A72" s="389"/>
      <c r="B72" s="358" t="s">
        <v>213</v>
      </c>
      <c r="C72" s="350"/>
      <c r="D72" s="351"/>
      <c r="E72" s="351"/>
      <c r="F72" s="351"/>
      <c r="G72" s="351"/>
      <c r="H72" s="362"/>
    </row>
    <row r="73" spans="1:8" ht="18" customHeight="1">
      <c r="A73" s="390"/>
      <c r="B73" s="360"/>
      <c r="C73" s="339"/>
      <c r="D73" s="339"/>
      <c r="E73" s="339"/>
      <c r="F73" s="339"/>
      <c r="G73" s="339"/>
      <c r="H73" s="326"/>
    </row>
    <row r="74" spans="1:8" ht="18" customHeight="1">
      <c r="A74" s="391"/>
      <c r="B74" s="17" t="s">
        <v>23</v>
      </c>
      <c r="C74" s="16" t="s">
        <v>24</v>
      </c>
      <c r="D74" s="16" t="s">
        <v>25</v>
      </c>
      <c r="E74" s="16" t="s">
        <v>26</v>
      </c>
      <c r="F74" s="16" t="s">
        <v>27</v>
      </c>
      <c r="G74" s="16" t="s">
        <v>28</v>
      </c>
      <c r="H74" s="182" t="s">
        <v>29</v>
      </c>
    </row>
    <row r="75" spans="1:8" ht="18" customHeight="1">
      <c r="A75" s="132">
        <v>1872</v>
      </c>
      <c r="B75" s="21">
        <f>B65/SUM($B65:$H65)</f>
        <v>0.07036870503597123</v>
      </c>
      <c r="C75" s="22">
        <f aca="true" t="shared" si="10" ref="C75:H76">C65/SUM($B65:$H65)</f>
        <v>0.12859712230215828</v>
      </c>
      <c r="D75" s="22">
        <f t="shared" si="10"/>
        <v>0.17108812949640287</v>
      </c>
      <c r="E75" s="22">
        <f t="shared" si="10"/>
        <v>0.17423561151079137</v>
      </c>
      <c r="F75" s="22">
        <f t="shared" si="10"/>
        <v>0.20750899280575538</v>
      </c>
      <c r="G75" s="22">
        <f t="shared" si="10"/>
        <v>0.17491007194244604</v>
      </c>
      <c r="H75" s="183">
        <f t="shared" si="10"/>
        <v>0.07329136690647482</v>
      </c>
    </row>
    <row r="76" spans="1:8" ht="18" customHeight="1">
      <c r="A76" s="132">
        <v>1882</v>
      </c>
      <c r="B76" s="21">
        <f>B66/SUM($B66:$H66)</f>
        <v>0.06705072811649863</v>
      </c>
      <c r="C76" s="22">
        <f t="shared" si="10"/>
        <v>0.11905904944791167</v>
      </c>
      <c r="D76" s="22">
        <f t="shared" si="10"/>
        <v>0.16370619299087855</v>
      </c>
      <c r="E76" s="22">
        <f t="shared" si="10"/>
        <v>0.1933109297487598</v>
      </c>
      <c r="F76" s="22">
        <f t="shared" si="10"/>
        <v>0.20307249159865579</v>
      </c>
      <c r="G76" s="22">
        <f t="shared" si="10"/>
        <v>0.16594655144823173</v>
      </c>
      <c r="H76" s="183">
        <f t="shared" si="10"/>
        <v>0.08785405664906384</v>
      </c>
    </row>
    <row r="77" spans="1:8" ht="18" customHeight="1">
      <c r="A77" s="132">
        <v>1912</v>
      </c>
      <c r="B77" s="21">
        <f>B67/SUM($B67:$H67)</f>
        <v>0.056016597510373446</v>
      </c>
      <c r="C77" s="22">
        <f aca="true" t="shared" si="11" ref="C77:H77">C67/SUM($B67:$H67)</f>
        <v>0.11410788381742738</v>
      </c>
      <c r="D77" s="22">
        <f t="shared" si="11"/>
        <v>0.15962899682694653</v>
      </c>
      <c r="E77" s="22">
        <f t="shared" si="11"/>
        <v>0.20014644862094216</v>
      </c>
      <c r="F77" s="22">
        <f t="shared" si="11"/>
        <v>0.20222113741762265</v>
      </c>
      <c r="G77" s="22">
        <f t="shared" si="11"/>
        <v>0.1787893580668782</v>
      </c>
      <c r="H77" s="183">
        <f t="shared" si="11"/>
        <v>0.08908957773980962</v>
      </c>
    </row>
    <row r="78" spans="1:8" ht="18" customHeight="1">
      <c r="A78" s="132">
        <v>1922</v>
      </c>
      <c r="B78" s="21">
        <f aca="true" t="shared" si="12" ref="B78:H78">B68/SUM($B68:$H68)</f>
        <v>0.037525879917184264</v>
      </c>
      <c r="C78" s="22">
        <f t="shared" si="12"/>
        <v>0.07919254658385093</v>
      </c>
      <c r="D78" s="22">
        <f t="shared" si="12"/>
        <v>0.15087991718426502</v>
      </c>
      <c r="E78" s="22">
        <f t="shared" si="12"/>
        <v>0.20522774327122154</v>
      </c>
      <c r="F78" s="22">
        <f t="shared" si="12"/>
        <v>0.23408385093167702</v>
      </c>
      <c r="G78" s="22">
        <f t="shared" si="12"/>
        <v>0.19655797101449277</v>
      </c>
      <c r="H78" s="183">
        <f t="shared" si="12"/>
        <v>0.0965320910973085</v>
      </c>
    </row>
    <row r="79" spans="1:8" ht="18" customHeight="1">
      <c r="A79" s="132">
        <v>1927</v>
      </c>
      <c r="B79" s="21">
        <f aca="true" t="shared" si="13" ref="B79:H79">B69/SUM($B69:$H69)</f>
        <v>0.03919152082819818</v>
      </c>
      <c r="C79" s="22">
        <f t="shared" si="13"/>
        <v>0.07862952920877496</v>
      </c>
      <c r="D79" s="22">
        <f t="shared" si="13"/>
        <v>0.1366773477939364</v>
      </c>
      <c r="E79" s="22">
        <f t="shared" si="13"/>
        <v>0.21370470791225044</v>
      </c>
      <c r="F79" s="22">
        <f t="shared" si="13"/>
        <v>0.24439240818338673</v>
      </c>
      <c r="G79" s="22">
        <f t="shared" si="13"/>
        <v>0.19139758442198668</v>
      </c>
      <c r="H79" s="183">
        <f t="shared" si="13"/>
        <v>0.0960069016514666</v>
      </c>
    </row>
    <row r="80" spans="1:8" ht="18" customHeight="1">
      <c r="A80" s="132">
        <v>1932</v>
      </c>
      <c r="B80" s="21">
        <f aca="true" t="shared" si="14" ref="B80:H80">B70/SUM($B70:$H70)</f>
        <v>0.04033898305084746</v>
      </c>
      <c r="C80" s="22">
        <f t="shared" si="14"/>
        <v>0.06949152542372881</v>
      </c>
      <c r="D80" s="22">
        <f t="shared" si="14"/>
        <v>0.13084745762711864</v>
      </c>
      <c r="E80" s="22">
        <f t="shared" si="14"/>
        <v>0.2063276836158192</v>
      </c>
      <c r="F80" s="22">
        <f t="shared" si="14"/>
        <v>0.2384180790960452</v>
      </c>
      <c r="G80" s="22">
        <f t="shared" si="14"/>
        <v>0.2105084745762712</v>
      </c>
      <c r="H80" s="183">
        <f t="shared" si="14"/>
        <v>0.10406779661016949</v>
      </c>
    </row>
    <row r="81" spans="1:8" ht="18" customHeight="1">
      <c r="A81" s="132">
        <v>1937</v>
      </c>
      <c r="B81" s="21">
        <f aca="true" t="shared" si="15" ref="B81:H81">B71/SUM($B71:$H71)</f>
        <v>0.028855612635260684</v>
      </c>
      <c r="C81" s="22">
        <f t="shared" si="15"/>
        <v>0.06940649251284293</v>
      </c>
      <c r="D81" s="22">
        <f t="shared" si="15"/>
        <v>0.11400153022188217</v>
      </c>
      <c r="E81" s="22">
        <f t="shared" si="15"/>
        <v>0.1972893212372937</v>
      </c>
      <c r="F81" s="22">
        <f t="shared" si="15"/>
        <v>0.24450759645862935</v>
      </c>
      <c r="G81" s="22">
        <f t="shared" si="15"/>
        <v>0.2268007432506285</v>
      </c>
      <c r="H81" s="183">
        <f t="shared" si="15"/>
        <v>0.11913870368346267</v>
      </c>
    </row>
    <row r="82" spans="1:8" ht="4.5" customHeight="1">
      <c r="A82" s="194"/>
      <c r="B82" s="50"/>
      <c r="C82" s="47"/>
      <c r="D82" s="47"/>
      <c r="E82" s="47"/>
      <c r="F82" s="47"/>
      <c r="G82" s="47"/>
      <c r="H82" s="166"/>
    </row>
    <row r="83" spans="1:8" ht="15">
      <c r="A83" s="389"/>
      <c r="B83" s="358" t="s">
        <v>30</v>
      </c>
      <c r="C83" s="350"/>
      <c r="D83" s="351"/>
      <c r="E83" s="351"/>
      <c r="F83" s="351"/>
      <c r="G83" s="351"/>
      <c r="H83" s="362"/>
    </row>
    <row r="84" spans="1:8" ht="15">
      <c r="A84" s="390"/>
      <c r="B84" s="360"/>
      <c r="C84" s="339"/>
      <c r="D84" s="339"/>
      <c r="E84" s="339"/>
      <c r="F84" s="339"/>
      <c r="G84" s="339"/>
      <c r="H84" s="326"/>
    </row>
    <row r="85" spans="1:8" ht="15">
      <c r="A85" s="391"/>
      <c r="B85" s="17" t="s">
        <v>23</v>
      </c>
      <c r="C85" s="16" t="s">
        <v>24</v>
      </c>
      <c r="D85" s="16" t="s">
        <v>25</v>
      </c>
      <c r="E85" s="16" t="s">
        <v>26</v>
      </c>
      <c r="F85" s="16" t="s">
        <v>27</v>
      </c>
      <c r="G85" s="16" t="s">
        <v>28</v>
      </c>
      <c r="H85" s="182" t="s">
        <v>29</v>
      </c>
    </row>
    <row r="86" spans="1:8" ht="1.5" customHeight="1">
      <c r="A86" s="130"/>
      <c r="B86" s="19" t="s">
        <v>209</v>
      </c>
      <c r="C86" s="6" t="s">
        <v>210</v>
      </c>
      <c r="D86" s="6" t="s">
        <v>211</v>
      </c>
      <c r="E86" s="6" t="s">
        <v>212</v>
      </c>
      <c r="F86" s="12" t="s">
        <v>122</v>
      </c>
      <c r="G86" s="12" t="s">
        <v>123</v>
      </c>
      <c r="H86" s="131" t="s">
        <v>124</v>
      </c>
    </row>
    <row r="87" spans="1:8" ht="15" customHeight="1">
      <c r="A87" s="132">
        <v>1872</v>
      </c>
      <c r="B87" s="29">
        <v>2550</v>
      </c>
      <c r="C87" s="30">
        <v>2786</v>
      </c>
      <c r="D87" s="30">
        <v>2679</v>
      </c>
      <c r="E87" s="30">
        <v>2522</v>
      </c>
      <c r="F87" s="30">
        <v>2405</v>
      </c>
      <c r="G87" s="30">
        <v>1938</v>
      </c>
      <c r="H87" s="161">
        <v>696</v>
      </c>
    </row>
    <row r="88" spans="1:8" ht="15" customHeight="1">
      <c r="A88" s="132">
        <v>1882</v>
      </c>
      <c r="B88" s="29">
        <v>4168</v>
      </c>
      <c r="C88" s="30">
        <v>4338</v>
      </c>
      <c r="D88" s="30">
        <v>4251</v>
      </c>
      <c r="E88" s="30">
        <v>4180</v>
      </c>
      <c r="F88" s="30">
        <v>3895</v>
      </c>
      <c r="G88" s="30">
        <v>2820</v>
      </c>
      <c r="H88" s="161">
        <v>1181</v>
      </c>
    </row>
    <row r="89" spans="1:8" ht="15">
      <c r="A89" s="132">
        <v>1912</v>
      </c>
      <c r="B89" s="29">
        <v>2999</v>
      </c>
      <c r="C89" s="30">
        <v>4164</v>
      </c>
      <c r="D89" s="30">
        <v>4729</v>
      </c>
      <c r="E89" s="30">
        <v>5385</v>
      </c>
      <c r="F89" s="30">
        <v>5219</v>
      </c>
      <c r="G89" s="30">
        <v>4629</v>
      </c>
      <c r="H89" s="161">
        <v>2200</v>
      </c>
    </row>
    <row r="90" spans="1:8" ht="15" customHeight="1">
      <c r="A90" s="132">
        <v>1922</v>
      </c>
      <c r="B90" s="29">
        <v>2145</v>
      </c>
      <c r="C90" s="30">
        <v>2577</v>
      </c>
      <c r="D90" s="30">
        <v>3662</v>
      </c>
      <c r="E90" s="30">
        <v>4241</v>
      </c>
      <c r="F90" s="30">
        <v>4798</v>
      </c>
      <c r="G90" s="30">
        <v>4271</v>
      </c>
      <c r="H90" s="161">
        <v>2147</v>
      </c>
    </row>
    <row r="91" spans="1:8" ht="15">
      <c r="A91" s="132">
        <v>1927</v>
      </c>
      <c r="B91" s="29">
        <v>2252</v>
      </c>
      <c r="C91" s="30">
        <v>2546</v>
      </c>
      <c r="D91" s="30">
        <v>3573</v>
      </c>
      <c r="E91" s="30">
        <v>4632</v>
      </c>
      <c r="F91" s="30">
        <v>5378</v>
      </c>
      <c r="G91" s="30">
        <v>4991</v>
      </c>
      <c r="H91" s="161">
        <v>2577</v>
      </c>
    </row>
    <row r="92" spans="1:8" ht="15">
      <c r="A92" s="132">
        <v>1932</v>
      </c>
      <c r="B92" s="29">
        <v>1811</v>
      </c>
      <c r="C92" s="30">
        <v>2450</v>
      </c>
      <c r="D92" s="30">
        <v>3277</v>
      </c>
      <c r="E92" s="30">
        <v>4327</v>
      </c>
      <c r="F92" s="30">
        <v>4769</v>
      </c>
      <c r="G92" s="30">
        <v>4523</v>
      </c>
      <c r="H92" s="161">
        <v>2415</v>
      </c>
    </row>
    <row r="93" spans="1:8" ht="15">
      <c r="A93" s="132">
        <v>1937</v>
      </c>
      <c r="B93" s="29">
        <v>1153</v>
      </c>
      <c r="C93" s="30">
        <v>2129</v>
      </c>
      <c r="D93" s="30">
        <v>2809</v>
      </c>
      <c r="E93" s="30">
        <v>3864</v>
      </c>
      <c r="F93" s="30">
        <v>4602</v>
      </c>
      <c r="G93" s="30">
        <v>4473</v>
      </c>
      <c r="H93" s="161">
        <v>2597</v>
      </c>
    </row>
    <row r="94" spans="1:8" ht="15" customHeight="1">
      <c r="A94" s="389"/>
      <c r="B94" s="358" t="s">
        <v>208</v>
      </c>
      <c r="C94" s="350"/>
      <c r="D94" s="351"/>
      <c r="E94" s="351"/>
      <c r="F94" s="351"/>
      <c r="G94" s="351"/>
      <c r="H94" s="362"/>
    </row>
    <row r="95" spans="1:8" ht="15" customHeight="1">
      <c r="A95" s="390"/>
      <c r="B95" s="360"/>
      <c r="C95" s="339"/>
      <c r="D95" s="339"/>
      <c r="E95" s="339"/>
      <c r="F95" s="339"/>
      <c r="G95" s="339"/>
      <c r="H95" s="326"/>
    </row>
    <row r="96" spans="1:8" ht="15" customHeight="1">
      <c r="A96" s="391"/>
      <c r="B96" s="17" t="s">
        <v>23</v>
      </c>
      <c r="C96" s="16" t="s">
        <v>24</v>
      </c>
      <c r="D96" s="16" t="s">
        <v>25</v>
      </c>
      <c r="E96" s="16" t="s">
        <v>26</v>
      </c>
      <c r="F96" s="16" t="s">
        <v>27</v>
      </c>
      <c r="G96" s="16" t="s">
        <v>28</v>
      </c>
      <c r="H96" s="182" t="s">
        <v>29</v>
      </c>
    </row>
    <row r="97" spans="1:8" ht="15" customHeight="1">
      <c r="A97" s="132">
        <v>1872</v>
      </c>
      <c r="B97" s="21">
        <f aca="true" t="shared" si="16" ref="B97:H98">B87/SUM($B87:$H87)</f>
        <v>0.16371340523882896</v>
      </c>
      <c r="C97" s="22">
        <f t="shared" si="16"/>
        <v>0.17886492039034413</v>
      </c>
      <c r="D97" s="22">
        <f t="shared" si="16"/>
        <v>0.17199537750385208</v>
      </c>
      <c r="E97" s="22">
        <f t="shared" si="16"/>
        <v>0.16191576784797124</v>
      </c>
      <c r="F97" s="22">
        <f t="shared" si="16"/>
        <v>0.15440421160760143</v>
      </c>
      <c r="G97" s="22">
        <f t="shared" si="16"/>
        <v>0.12442218798151002</v>
      </c>
      <c r="H97" s="183">
        <f t="shared" si="16"/>
        <v>0.04468412942989214</v>
      </c>
    </row>
    <row r="98" spans="1:8" ht="15" customHeight="1">
      <c r="A98" s="132">
        <v>1882</v>
      </c>
      <c r="B98" s="21">
        <f t="shared" si="16"/>
        <v>0.16784117907622922</v>
      </c>
      <c r="C98" s="22">
        <f t="shared" si="16"/>
        <v>0.17468690854910804</v>
      </c>
      <c r="D98" s="22">
        <f t="shared" si="16"/>
        <v>0.17118350581887004</v>
      </c>
      <c r="E98" s="22">
        <f t="shared" si="16"/>
        <v>0.16832440703902066</v>
      </c>
      <c r="F98" s="22">
        <f t="shared" si="16"/>
        <v>0.1568477429227238</v>
      </c>
      <c r="G98" s="22">
        <f t="shared" si="16"/>
        <v>0.11355857125599002</v>
      </c>
      <c r="H98" s="183">
        <f t="shared" si="16"/>
        <v>0.04755768533805823</v>
      </c>
    </row>
    <row r="99" spans="1:8" ht="15" customHeight="1">
      <c r="A99" s="132">
        <v>1912</v>
      </c>
      <c r="B99" s="21">
        <f aca="true" t="shared" si="17" ref="B99:H100">B89/SUM($B89:$H89)</f>
        <v>0.10226768968456948</v>
      </c>
      <c r="C99" s="22">
        <f t="shared" si="17"/>
        <v>0.14199488491048592</v>
      </c>
      <c r="D99" s="22">
        <f t="shared" si="17"/>
        <v>0.1612617220801364</v>
      </c>
      <c r="E99" s="22">
        <f t="shared" si="17"/>
        <v>0.18363171355498722</v>
      </c>
      <c r="F99" s="22">
        <f t="shared" si="17"/>
        <v>0.17797101449275363</v>
      </c>
      <c r="G99" s="22">
        <f t="shared" si="17"/>
        <v>0.15785166240409207</v>
      </c>
      <c r="H99" s="183">
        <f t="shared" si="17"/>
        <v>0.07502131287297528</v>
      </c>
    </row>
    <row r="100" spans="1:8" ht="15" customHeight="1">
      <c r="A100" s="132">
        <v>1922</v>
      </c>
      <c r="B100" s="21">
        <f t="shared" si="17"/>
        <v>0.08997105826097898</v>
      </c>
      <c r="C100" s="22">
        <f t="shared" si="17"/>
        <v>0.10809110356109224</v>
      </c>
      <c r="D100" s="22">
        <f t="shared" si="17"/>
        <v>0.15360093955790444</v>
      </c>
      <c r="E100" s="22">
        <f t="shared" si="17"/>
        <v>0.1778868336059729</v>
      </c>
      <c r="F100" s="22">
        <f t="shared" si="17"/>
        <v>0.20124994756931336</v>
      </c>
      <c r="G100" s="22">
        <f t="shared" si="17"/>
        <v>0.17914517008514744</v>
      </c>
      <c r="H100" s="183">
        <f t="shared" si="17"/>
        <v>0.09005494735959062</v>
      </c>
    </row>
    <row r="101" spans="1:8" ht="15" customHeight="1">
      <c r="A101" s="132">
        <v>1927</v>
      </c>
      <c r="B101" s="21">
        <f aca="true" t="shared" si="18" ref="B101:H101">B91/SUM($B91:$H91)</f>
        <v>0.08678561794288797</v>
      </c>
      <c r="C101" s="22">
        <f t="shared" si="18"/>
        <v>0.09811553431731473</v>
      </c>
      <c r="D101" s="22">
        <f t="shared" si="18"/>
        <v>0.13769316736675788</v>
      </c>
      <c r="E101" s="22">
        <f t="shared" si="18"/>
        <v>0.17850398859300937</v>
      </c>
      <c r="F101" s="22">
        <f t="shared" si="18"/>
        <v>0.20725268796485413</v>
      </c>
      <c r="G101" s="22">
        <f t="shared" si="18"/>
        <v>0.1923388184515781</v>
      </c>
      <c r="H101" s="183">
        <f t="shared" si="18"/>
        <v>0.09931018536359783</v>
      </c>
    </row>
    <row r="102" spans="1:8" ht="15" customHeight="1">
      <c r="A102" s="132">
        <v>1932</v>
      </c>
      <c r="B102" s="21">
        <f aca="true" t="shared" si="19" ref="B102:H103">B92/SUM($B92:$H92)</f>
        <v>0.076828440522654</v>
      </c>
      <c r="C102" s="22">
        <f t="shared" si="19"/>
        <v>0.10393687425759375</v>
      </c>
      <c r="D102" s="22">
        <f t="shared" si="19"/>
        <v>0.13902087222127948</v>
      </c>
      <c r="E102" s="22">
        <f t="shared" si="19"/>
        <v>0.18356524690310538</v>
      </c>
      <c r="F102" s="22">
        <f t="shared" si="19"/>
        <v>0.20231630748345494</v>
      </c>
      <c r="G102" s="22">
        <f t="shared" si="19"/>
        <v>0.19188019684371288</v>
      </c>
      <c r="H102" s="183">
        <f t="shared" si="19"/>
        <v>0.10245206176819956</v>
      </c>
    </row>
    <row r="103" spans="1:8" ht="15" customHeight="1">
      <c r="A103" s="132">
        <v>1937</v>
      </c>
      <c r="B103" s="21">
        <f t="shared" si="19"/>
        <v>0.05331298839413696</v>
      </c>
      <c r="C103" s="22">
        <f t="shared" si="19"/>
        <v>0.09844176261155038</v>
      </c>
      <c r="D103" s="22">
        <f t="shared" si="19"/>
        <v>0.1298839413695843</v>
      </c>
      <c r="E103" s="22">
        <f t="shared" si="19"/>
        <v>0.1786655569427105</v>
      </c>
      <c r="F103" s="22">
        <f t="shared" si="19"/>
        <v>0.21278956859481205</v>
      </c>
      <c r="G103" s="22">
        <f t="shared" si="19"/>
        <v>0.2068248023304203</v>
      </c>
      <c r="H103" s="183">
        <f t="shared" si="19"/>
        <v>0.1200813797567855</v>
      </c>
    </row>
    <row r="104" spans="1:8" ht="15">
      <c r="A104" s="389"/>
      <c r="B104" s="358" t="s">
        <v>109</v>
      </c>
      <c r="C104" s="350"/>
      <c r="D104" s="351"/>
      <c r="E104" s="351"/>
      <c r="F104" s="351"/>
      <c r="G104" s="351"/>
      <c r="H104" s="362"/>
    </row>
    <row r="105" spans="1:8" ht="15">
      <c r="A105" s="390"/>
      <c r="B105" s="360"/>
      <c r="C105" s="339"/>
      <c r="D105" s="339"/>
      <c r="E105" s="339"/>
      <c r="F105" s="339"/>
      <c r="G105" s="339"/>
      <c r="H105" s="326"/>
    </row>
    <row r="106" spans="1:8" ht="15">
      <c r="A106" s="391"/>
      <c r="B106" s="17" t="s">
        <v>23</v>
      </c>
      <c r="C106" s="16" t="s">
        <v>24</v>
      </c>
      <c r="D106" s="16" t="s">
        <v>25</v>
      </c>
      <c r="E106" s="16" t="s">
        <v>26</v>
      </c>
      <c r="F106" s="16" t="s">
        <v>27</v>
      </c>
      <c r="G106" s="16" t="s">
        <v>28</v>
      </c>
      <c r="H106" s="182" t="s">
        <v>29</v>
      </c>
    </row>
    <row r="107" spans="1:8" ht="1.5" customHeight="1">
      <c r="A107" s="130"/>
      <c r="B107" s="19" t="s">
        <v>209</v>
      </c>
      <c r="C107" s="6" t="s">
        <v>210</v>
      </c>
      <c r="D107" s="6" t="s">
        <v>211</v>
      </c>
      <c r="E107" s="6" t="s">
        <v>212</v>
      </c>
      <c r="F107" s="12" t="s">
        <v>122</v>
      </c>
      <c r="G107" s="12" t="s">
        <v>123</v>
      </c>
      <c r="H107" s="131" t="s">
        <v>124</v>
      </c>
    </row>
    <row r="108" spans="1:8" ht="15">
      <c r="A108" s="132">
        <v>1872</v>
      </c>
      <c r="B108" s="29">
        <v>121544</v>
      </c>
      <c r="C108" s="30">
        <v>179780.6</v>
      </c>
      <c r="D108" s="30">
        <v>749103.4</v>
      </c>
      <c r="E108" s="30">
        <v>299653.3</v>
      </c>
      <c r="F108" s="30">
        <v>366372.3</v>
      </c>
      <c r="G108" s="30">
        <v>474330.8</v>
      </c>
      <c r="H108" s="161">
        <v>372630</v>
      </c>
    </row>
    <row r="109" spans="1:8" ht="15">
      <c r="A109" s="132">
        <v>1882</v>
      </c>
      <c r="B109" s="29">
        <v>111798.6</v>
      </c>
      <c r="C109" s="30">
        <v>109126.5</v>
      </c>
      <c r="D109" s="30">
        <v>218077</v>
      </c>
      <c r="E109" s="30">
        <v>348411</v>
      </c>
      <c r="F109" s="30">
        <v>387330.4</v>
      </c>
      <c r="G109" s="30">
        <v>516267.4</v>
      </c>
      <c r="H109" s="161">
        <v>598270.9</v>
      </c>
    </row>
    <row r="110" spans="1:8" ht="15">
      <c r="A110" s="132">
        <v>1912</v>
      </c>
      <c r="B110" s="29">
        <v>116379.1</v>
      </c>
      <c r="C110" s="30">
        <v>149221</v>
      </c>
      <c r="D110" s="30">
        <v>332487.6</v>
      </c>
      <c r="E110" s="30">
        <v>353838.2</v>
      </c>
      <c r="F110" s="30">
        <v>979630.3</v>
      </c>
      <c r="G110" s="30">
        <v>720256.6</v>
      </c>
      <c r="H110" s="161">
        <v>1083546</v>
      </c>
    </row>
    <row r="111" spans="1:8" ht="15">
      <c r="A111" s="132">
        <v>1922</v>
      </c>
      <c r="B111" s="29">
        <v>342306.2</v>
      </c>
      <c r="C111" s="30">
        <v>438648.3</v>
      </c>
      <c r="D111" s="30">
        <v>428371.4</v>
      </c>
      <c r="E111" s="30">
        <v>312394.9</v>
      </c>
      <c r="F111" s="30">
        <v>620611.8</v>
      </c>
      <c r="G111" s="30">
        <v>2808971</v>
      </c>
      <c r="H111" s="161">
        <v>2546427</v>
      </c>
    </row>
    <row r="112" spans="1:8" ht="15">
      <c r="A112" s="132">
        <v>1927</v>
      </c>
      <c r="B112" s="29">
        <v>360340.7</v>
      </c>
      <c r="C112" s="30">
        <v>429413.6</v>
      </c>
      <c r="D112" s="30">
        <v>1295812</v>
      </c>
      <c r="E112" s="30">
        <v>1519836</v>
      </c>
      <c r="F112" s="30">
        <v>1319891</v>
      </c>
      <c r="G112" s="30">
        <v>1218001</v>
      </c>
      <c r="H112" s="161">
        <v>1666996</v>
      </c>
    </row>
    <row r="113" spans="1:8" ht="15">
      <c r="A113" s="132">
        <v>1932</v>
      </c>
      <c r="B113" s="29">
        <v>342968</v>
      </c>
      <c r="C113" s="30">
        <v>431303.4</v>
      </c>
      <c r="D113" s="30">
        <v>386109.9</v>
      </c>
      <c r="E113" s="30">
        <v>621745.4</v>
      </c>
      <c r="F113" s="30">
        <v>4211085</v>
      </c>
      <c r="G113" s="30">
        <v>2040347</v>
      </c>
      <c r="H113" s="161">
        <v>1492259</v>
      </c>
    </row>
    <row r="114" spans="1:8" ht="15">
      <c r="A114" s="132">
        <v>1932</v>
      </c>
      <c r="B114" s="29">
        <v>241300.7</v>
      </c>
      <c r="C114" s="30">
        <v>442855.7</v>
      </c>
      <c r="D114" s="30">
        <v>3521272</v>
      </c>
      <c r="E114" s="30">
        <v>504934.8</v>
      </c>
      <c r="F114" s="30">
        <v>848749.2</v>
      </c>
      <c r="G114" s="30">
        <v>1264368</v>
      </c>
      <c r="H114" s="161">
        <v>3093316</v>
      </c>
    </row>
    <row r="115" spans="1:8" ht="15">
      <c r="A115" s="389"/>
      <c r="B115" s="358" t="s">
        <v>110</v>
      </c>
      <c r="C115" s="350"/>
      <c r="D115" s="351"/>
      <c r="E115" s="351"/>
      <c r="F115" s="351"/>
      <c r="G115" s="351"/>
      <c r="H115" s="362"/>
    </row>
    <row r="116" spans="1:8" ht="15">
      <c r="A116" s="390"/>
      <c r="B116" s="360"/>
      <c r="C116" s="339"/>
      <c r="D116" s="339"/>
      <c r="E116" s="339"/>
      <c r="F116" s="339"/>
      <c r="G116" s="339"/>
      <c r="H116" s="326"/>
    </row>
    <row r="117" spans="1:8" ht="15">
      <c r="A117" s="391"/>
      <c r="B117" s="17" t="s">
        <v>23</v>
      </c>
      <c r="C117" s="16" t="s">
        <v>24</v>
      </c>
      <c r="D117" s="16" t="s">
        <v>25</v>
      </c>
      <c r="E117" s="16" t="s">
        <v>26</v>
      </c>
      <c r="F117" s="16" t="s">
        <v>27</v>
      </c>
      <c r="G117" s="16" t="s">
        <v>28</v>
      </c>
      <c r="H117" s="182" t="s">
        <v>29</v>
      </c>
    </row>
    <row r="118" spans="1:8" ht="15">
      <c r="A118" s="132">
        <v>1872</v>
      </c>
      <c r="B118" s="21">
        <f aca="true" t="shared" si="20" ref="B118:H124">B108/B31</f>
        <v>3.7183337126802205</v>
      </c>
      <c r="C118" s="22">
        <f t="shared" si="20"/>
        <v>5.9971285398718654</v>
      </c>
      <c r="D118" s="22">
        <f t="shared" si="20"/>
        <v>9.279643532491923</v>
      </c>
      <c r="E118" s="22">
        <f t="shared" si="20"/>
        <v>4.342955655671831</v>
      </c>
      <c r="F118" s="22">
        <f t="shared" si="20"/>
        <v>3.135994679362242</v>
      </c>
      <c r="G118" s="22">
        <f t="shared" si="20"/>
        <v>3.5921633370189174</v>
      </c>
      <c r="H118" s="183">
        <f t="shared" si="20"/>
        <v>2.73247244648789</v>
      </c>
    </row>
    <row r="119" spans="1:8" ht="15">
      <c r="A119" s="132">
        <v>1882</v>
      </c>
      <c r="B119" s="21">
        <f t="shared" si="20"/>
        <v>3.739959187769712</v>
      </c>
      <c r="C119" s="22">
        <f t="shared" si="20"/>
        <v>3.546025889776245</v>
      </c>
      <c r="D119" s="22">
        <f t="shared" si="20"/>
        <v>4.1390558161480815</v>
      </c>
      <c r="E119" s="22">
        <f t="shared" si="20"/>
        <v>4.0033284947902645</v>
      </c>
      <c r="F119" s="22">
        <f t="shared" si="20"/>
        <v>3.194643515498125</v>
      </c>
      <c r="G119" s="22">
        <f t="shared" si="20"/>
        <v>3.134487919346956</v>
      </c>
      <c r="H119" s="183">
        <f t="shared" si="20"/>
        <v>2.869099309330134</v>
      </c>
    </row>
    <row r="120" spans="1:8" ht="15">
      <c r="A120" s="132">
        <v>1912</v>
      </c>
      <c r="B120" s="21">
        <f t="shared" si="20"/>
        <v>5.498928366902981</v>
      </c>
      <c r="C120" s="22">
        <f t="shared" si="20"/>
        <v>5.899415676321054</v>
      </c>
      <c r="D120" s="22">
        <f t="shared" si="20"/>
        <v>7.779125429915069</v>
      </c>
      <c r="E120" s="22">
        <f t="shared" si="20"/>
        <v>4.347040676561402</v>
      </c>
      <c r="F120" s="22">
        <f t="shared" si="20"/>
        <v>5.824607790558434</v>
      </c>
      <c r="G120" s="22">
        <f t="shared" si="20"/>
        <v>3.50078423652982</v>
      </c>
      <c r="H120" s="183">
        <f t="shared" si="20"/>
        <v>3.8568673528882025</v>
      </c>
    </row>
    <row r="121" spans="1:8" ht="15">
      <c r="A121" s="132">
        <v>1922</v>
      </c>
      <c r="B121" s="21">
        <f t="shared" si="20"/>
        <v>5.503936296347272</v>
      </c>
      <c r="C121" s="22">
        <f t="shared" si="20"/>
        <v>8.49255705272182</v>
      </c>
      <c r="D121" s="22">
        <f t="shared" si="20"/>
        <v>5.524359810462087</v>
      </c>
      <c r="E121" s="22">
        <f t="shared" si="20"/>
        <v>3.547580082760808</v>
      </c>
      <c r="F121" s="22">
        <f t="shared" si="20"/>
        <v>4.07591192362178</v>
      </c>
      <c r="G121" s="22">
        <f t="shared" si="20"/>
        <v>9.241899764656491</v>
      </c>
      <c r="H121" s="183">
        <f t="shared" si="20"/>
        <v>7.310434972584724</v>
      </c>
    </row>
    <row r="122" spans="1:8" ht="15">
      <c r="A122" s="132">
        <v>1927</v>
      </c>
      <c r="B122" s="21">
        <f t="shared" si="20"/>
        <v>4.760023751196312</v>
      </c>
      <c r="C122" s="22">
        <f t="shared" si="20"/>
        <v>5.001080776892244</v>
      </c>
      <c r="D122" s="22">
        <f t="shared" si="20"/>
        <v>9.670144991130684</v>
      </c>
      <c r="E122" s="22">
        <f t="shared" si="20"/>
        <v>7.003826714002898</v>
      </c>
      <c r="F122" s="22">
        <f t="shared" si="20"/>
        <v>4.653590876798347</v>
      </c>
      <c r="G122" s="22">
        <f t="shared" si="20"/>
        <v>3.551517222657495</v>
      </c>
      <c r="H122" s="183">
        <f t="shared" si="20"/>
        <v>3.2508292852253646</v>
      </c>
    </row>
    <row r="123" spans="1:8" ht="15">
      <c r="A123" s="132">
        <v>1932</v>
      </c>
      <c r="B123" s="21">
        <f t="shared" si="20"/>
        <v>4.565090622841612</v>
      </c>
      <c r="C123" s="22">
        <f t="shared" si="20"/>
        <v>4.890618488841416</v>
      </c>
      <c r="D123" s="22">
        <f t="shared" si="20"/>
        <v>4.190840626775648</v>
      </c>
      <c r="E123" s="22">
        <f t="shared" si="20"/>
        <v>4.271482089871137</v>
      </c>
      <c r="F123" s="22">
        <f t="shared" si="20"/>
        <v>11.255441512576786</v>
      </c>
      <c r="G123" s="22">
        <f t="shared" si="20"/>
        <v>5.071494670740737</v>
      </c>
      <c r="H123" s="183">
        <f t="shared" si="20"/>
        <v>3.1811119936525234</v>
      </c>
    </row>
    <row r="124" spans="1:8" ht="15">
      <c r="A124" s="192">
        <v>1937</v>
      </c>
      <c r="B124" s="51">
        <f t="shared" si="20"/>
        <v>3.745054268984755</v>
      </c>
      <c r="C124" s="52">
        <f t="shared" si="20"/>
        <v>5.547433926759783</v>
      </c>
      <c r="D124" s="52">
        <f t="shared" si="20"/>
        <v>20.55799463816988</v>
      </c>
      <c r="E124" s="52">
        <f t="shared" si="20"/>
        <v>3.9284570606989977</v>
      </c>
      <c r="F124" s="52">
        <f t="shared" si="20"/>
        <v>4.104101881433291</v>
      </c>
      <c r="G124" s="52">
        <f t="shared" si="20"/>
        <v>4.07212389309277</v>
      </c>
      <c r="H124" s="205">
        <f t="shared" si="20"/>
        <v>7.27806350349902</v>
      </c>
    </row>
    <row r="125" spans="1:8" ht="15">
      <c r="A125" s="389"/>
      <c r="B125" s="358" t="s">
        <v>111</v>
      </c>
      <c r="C125" s="350"/>
      <c r="D125" s="351"/>
      <c r="E125" s="351"/>
      <c r="F125" s="351"/>
      <c r="G125" s="351"/>
      <c r="H125" s="362"/>
    </row>
    <row r="126" spans="1:8" ht="15">
      <c r="A126" s="390"/>
      <c r="B126" s="360"/>
      <c r="C126" s="339"/>
      <c r="D126" s="339"/>
      <c r="E126" s="339"/>
      <c r="F126" s="339"/>
      <c r="G126" s="339"/>
      <c r="H126" s="326"/>
    </row>
    <row r="127" spans="1:8" ht="15">
      <c r="A127" s="391"/>
      <c r="B127" s="17" t="s">
        <v>23</v>
      </c>
      <c r="C127" s="16" t="s">
        <v>24</v>
      </c>
      <c r="D127" s="16" t="s">
        <v>25</v>
      </c>
      <c r="E127" s="16" t="s">
        <v>26</v>
      </c>
      <c r="F127" s="16" t="s">
        <v>27</v>
      </c>
      <c r="G127" s="16" t="s">
        <v>28</v>
      </c>
      <c r="H127" s="182" t="s">
        <v>29</v>
      </c>
    </row>
    <row r="128" spans="1:8" ht="15">
      <c r="A128" s="132">
        <v>1872</v>
      </c>
      <c r="B128" s="21">
        <f aca="true" t="shared" si="21" ref="B128:H134">B118/(B65^0.5)</f>
        <v>0.21017264771938016</v>
      </c>
      <c r="C128" s="22">
        <f t="shared" si="21"/>
        <v>0.2507525412226669</v>
      </c>
      <c r="D128" s="22">
        <f t="shared" si="21"/>
        <v>0.33638681525073544</v>
      </c>
      <c r="E128" s="22">
        <f t="shared" si="21"/>
        <v>0.1560035724451659</v>
      </c>
      <c r="F128" s="22">
        <f t="shared" si="21"/>
        <v>0.10322252219757107</v>
      </c>
      <c r="G128" s="22">
        <f t="shared" si="21"/>
        <v>0.12878529510886016</v>
      </c>
      <c r="H128" s="183">
        <f t="shared" si="21"/>
        <v>0.15133765189073797</v>
      </c>
    </row>
    <row r="129" spans="1:8" ht="15">
      <c r="A129" s="132">
        <v>1882</v>
      </c>
      <c r="B129" s="21">
        <f t="shared" si="21"/>
        <v>0.18270896250309462</v>
      </c>
      <c r="C129" s="22">
        <f t="shared" si="21"/>
        <v>0.13000361663167842</v>
      </c>
      <c r="D129" s="22">
        <f t="shared" si="21"/>
        <v>0.12940869752947418</v>
      </c>
      <c r="E129" s="22">
        <f t="shared" si="21"/>
        <v>0.11518283420586205</v>
      </c>
      <c r="F129" s="22">
        <f t="shared" si="21"/>
        <v>0.08967917245664812</v>
      </c>
      <c r="G129" s="22">
        <f t="shared" si="21"/>
        <v>0.09733683534251394</v>
      </c>
      <c r="H129" s="183">
        <f t="shared" si="21"/>
        <v>0.12245017459475238</v>
      </c>
    </row>
    <row r="130" spans="1:8" ht="15">
      <c r="A130" s="132">
        <v>1912</v>
      </c>
      <c r="B130" s="21">
        <f t="shared" si="21"/>
        <v>0.2566679958556971</v>
      </c>
      <c r="C130" s="22">
        <f t="shared" si="21"/>
        <v>0.19293152292179358</v>
      </c>
      <c r="D130" s="22">
        <f t="shared" si="21"/>
        <v>0.21509330962592568</v>
      </c>
      <c r="E130" s="22">
        <f t="shared" si="21"/>
        <v>0.10734251835198383</v>
      </c>
      <c r="F130" s="22">
        <f t="shared" si="21"/>
        <v>0.1430887311467654</v>
      </c>
      <c r="G130" s="22">
        <f t="shared" si="21"/>
        <v>0.09146322960131491</v>
      </c>
      <c r="H130" s="183">
        <f t="shared" si="21"/>
        <v>0.1427490650967387</v>
      </c>
    </row>
    <row r="131" spans="1:8" ht="15">
      <c r="A131" s="132">
        <v>1922</v>
      </c>
      <c r="B131" s="21">
        <f t="shared" si="21"/>
        <v>0.3232022680135989</v>
      </c>
      <c r="C131" s="22">
        <f t="shared" si="21"/>
        <v>0.34329127215643407</v>
      </c>
      <c r="D131" s="22">
        <f t="shared" si="21"/>
        <v>0.16178292455871995</v>
      </c>
      <c r="E131" s="22">
        <f t="shared" si="21"/>
        <v>0.08908008370980584</v>
      </c>
      <c r="F131" s="22">
        <f t="shared" si="21"/>
        <v>0.09583088686508028</v>
      </c>
      <c r="G131" s="22">
        <f t="shared" si="21"/>
        <v>0.23712774264747272</v>
      </c>
      <c r="H131" s="183">
        <f t="shared" si="21"/>
        <v>0.26765404095823625</v>
      </c>
    </row>
    <row r="132" spans="1:8" ht="15">
      <c r="A132" s="132">
        <v>1927</v>
      </c>
      <c r="B132" s="21">
        <f t="shared" si="21"/>
        <v>0.2669288772487649</v>
      </c>
      <c r="C132" s="22">
        <f t="shared" si="21"/>
        <v>0.19799468398313552</v>
      </c>
      <c r="D132" s="22">
        <f t="shared" si="21"/>
        <v>0.29038034221778725</v>
      </c>
      <c r="E132" s="22">
        <f t="shared" si="21"/>
        <v>0.16819413427628344</v>
      </c>
      <c r="F132" s="22">
        <f t="shared" si="21"/>
        <v>0.1045025390118332</v>
      </c>
      <c r="G132" s="22">
        <f t="shared" si="21"/>
        <v>0.09012145551207087</v>
      </c>
      <c r="H132" s="183">
        <f t="shared" si="21"/>
        <v>0.11647304636039589</v>
      </c>
    </row>
    <row r="133" spans="1:8" ht="15">
      <c r="A133" s="132">
        <v>1932</v>
      </c>
      <c r="B133" s="21">
        <f t="shared" si="21"/>
        <v>0.2416102168867856</v>
      </c>
      <c r="C133" s="22">
        <f t="shared" si="21"/>
        <v>0.1972087714015771</v>
      </c>
      <c r="D133" s="22">
        <f t="shared" si="21"/>
        <v>0.1231535302778227</v>
      </c>
      <c r="E133" s="22">
        <f t="shared" si="21"/>
        <v>0.09996045013109273</v>
      </c>
      <c r="F133" s="22">
        <f t="shared" si="21"/>
        <v>0.24503115542600154</v>
      </c>
      <c r="G133" s="22">
        <f t="shared" si="21"/>
        <v>0.11749774885145357</v>
      </c>
      <c r="H133" s="183">
        <f t="shared" si="21"/>
        <v>0.1048212040413458</v>
      </c>
    </row>
    <row r="134" spans="1:8" ht="15" thickBot="1">
      <c r="A134" s="192">
        <v>1937</v>
      </c>
      <c r="B134" s="51">
        <f t="shared" si="21"/>
        <v>0.23049215688392424</v>
      </c>
      <c r="C134" s="52">
        <f t="shared" si="21"/>
        <v>0.22014320025145792</v>
      </c>
      <c r="D134" s="52">
        <f t="shared" si="21"/>
        <v>0.6365588995086352</v>
      </c>
      <c r="E134" s="52">
        <f t="shared" si="21"/>
        <v>0.09246628457275764</v>
      </c>
      <c r="F134" s="52">
        <f t="shared" si="21"/>
        <v>0.08677310563219975</v>
      </c>
      <c r="G134" s="52">
        <f t="shared" si="21"/>
        <v>0.08939473314233295</v>
      </c>
      <c r="H134" s="205">
        <f t="shared" si="21"/>
        <v>0.2204461871570417</v>
      </c>
    </row>
    <row r="135" spans="1:8" ht="15.75" thickBot="1" thickTop="1">
      <c r="A135" s="327" t="s">
        <v>454</v>
      </c>
      <c r="B135" s="328"/>
      <c r="C135" s="328"/>
      <c r="D135" s="328"/>
      <c r="E135" s="328"/>
      <c r="F135" s="328"/>
      <c r="G135" s="328"/>
      <c r="H135" s="329"/>
    </row>
    <row r="136" ht="15" thickTop="1"/>
  </sheetData>
  <mergeCells count="27">
    <mergeCell ref="A3:H3"/>
    <mergeCell ref="B4:H4"/>
    <mergeCell ref="A27:A29"/>
    <mergeCell ref="A83:A85"/>
    <mergeCell ref="B83:H84"/>
    <mergeCell ref="A5:A7"/>
    <mergeCell ref="B5:H6"/>
    <mergeCell ref="A16:A18"/>
    <mergeCell ref="B125:H126"/>
    <mergeCell ref="A39:A41"/>
    <mergeCell ref="B27:H28"/>
    <mergeCell ref="B39:H40"/>
    <mergeCell ref="B61:H62"/>
    <mergeCell ref="A50:A52"/>
    <mergeCell ref="B50:H51"/>
    <mergeCell ref="A115:A117"/>
    <mergeCell ref="B115:H116"/>
    <mergeCell ref="A135:H135"/>
    <mergeCell ref="A104:A106"/>
    <mergeCell ref="B104:H105"/>
    <mergeCell ref="B16:H17"/>
    <mergeCell ref="A61:A63"/>
    <mergeCell ref="A94:A96"/>
    <mergeCell ref="B94:H95"/>
    <mergeCell ref="A72:A74"/>
    <mergeCell ref="B72:H73"/>
    <mergeCell ref="A125:A1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3" sqref="A3:H36"/>
    </sheetView>
  </sheetViews>
  <sheetFormatPr defaultColWidth="11.5546875" defaultRowHeight="15"/>
  <cols>
    <col min="1" max="8" width="11.6640625" style="0" customWidth="1"/>
    <col min="9" max="23" width="10.77734375" style="0" customWidth="1"/>
    <col min="24" max="16384" width="8.88671875" style="0" customWidth="1"/>
  </cols>
  <sheetData>
    <row r="1" spans="1:8" ht="15">
      <c r="A1" s="55"/>
      <c r="B1" s="2"/>
      <c r="C1" s="2"/>
      <c r="D1" s="2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370" t="s">
        <v>275</v>
      </c>
      <c r="B3" s="371"/>
      <c r="C3" s="371"/>
      <c r="D3" s="371"/>
      <c r="E3" s="371"/>
      <c r="F3" s="371"/>
      <c r="G3" s="371"/>
      <c r="H3" s="377"/>
    </row>
    <row r="4" spans="1:8" ht="18" customHeight="1">
      <c r="A4" s="127"/>
      <c r="B4" s="314"/>
      <c r="C4" s="314"/>
      <c r="D4" s="314"/>
      <c r="E4" s="314"/>
      <c r="F4" s="314"/>
      <c r="G4" s="314"/>
      <c r="H4" s="349"/>
    </row>
    <row r="5" spans="1:8" ht="18" customHeight="1">
      <c r="A5" s="389"/>
      <c r="B5" s="358" t="s">
        <v>112</v>
      </c>
      <c r="C5" s="350"/>
      <c r="D5" s="351"/>
      <c r="E5" s="351"/>
      <c r="F5" s="351"/>
      <c r="G5" s="351"/>
      <c r="H5" s="362"/>
    </row>
    <row r="6" spans="1:8" ht="18" customHeight="1">
      <c r="A6" s="390"/>
      <c r="B6" s="360"/>
      <c r="C6" s="339"/>
      <c r="D6" s="339"/>
      <c r="E6" s="339"/>
      <c r="F6" s="339"/>
      <c r="G6" s="339"/>
      <c r="H6" s="326"/>
    </row>
    <row r="7" spans="1:8" ht="18" customHeight="1">
      <c r="A7" s="391"/>
      <c r="B7" s="17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2" t="s">
        <v>29</v>
      </c>
    </row>
    <row r="8" spans="1:8" ht="18" customHeight="1">
      <c r="A8" s="392" t="s">
        <v>18</v>
      </c>
      <c r="B8" s="351"/>
      <c r="C8" s="351"/>
      <c r="D8" s="351"/>
      <c r="E8" s="351"/>
      <c r="F8" s="351"/>
      <c r="G8" s="351"/>
      <c r="H8" s="362"/>
    </row>
    <row r="9" spans="1:8" ht="1.5" customHeight="1">
      <c r="A9" s="130"/>
      <c r="B9" s="19" t="s">
        <v>214</v>
      </c>
      <c r="C9" s="6" t="s">
        <v>215</v>
      </c>
      <c r="D9" s="6" t="s">
        <v>216</v>
      </c>
      <c r="E9" s="6" t="s">
        <v>217</v>
      </c>
      <c r="F9" s="12" t="s">
        <v>218</v>
      </c>
      <c r="G9" s="12" t="s">
        <v>219</v>
      </c>
      <c r="H9" s="131" t="s">
        <v>220</v>
      </c>
    </row>
    <row r="10" spans="1:8" ht="18" customHeight="1">
      <c r="A10" s="132">
        <v>1872</v>
      </c>
      <c r="B10" s="21">
        <v>0.7741935</v>
      </c>
      <c r="C10" s="22">
        <v>0.7455831</v>
      </c>
      <c r="D10" s="22">
        <v>0.6918033</v>
      </c>
      <c r="E10" s="22">
        <v>0.5525424</v>
      </c>
      <c r="F10" s="22">
        <v>0.3685637</v>
      </c>
      <c r="G10" s="22">
        <v>0.1685714</v>
      </c>
      <c r="H10" s="183">
        <v>0.0606061</v>
      </c>
    </row>
    <row r="11" spans="1:8" ht="18" customHeight="1">
      <c r="A11" s="132">
        <v>1882</v>
      </c>
      <c r="B11" s="21">
        <v>0.7837838</v>
      </c>
      <c r="C11" s="22">
        <v>0.7335423</v>
      </c>
      <c r="D11" s="22">
        <v>0.6989796</v>
      </c>
      <c r="E11" s="22">
        <v>0.521327</v>
      </c>
      <c r="F11" s="22">
        <v>0.3346774</v>
      </c>
      <c r="G11" s="22">
        <v>0.161157</v>
      </c>
      <c r="H11" s="183">
        <v>0.0580645</v>
      </c>
    </row>
    <row r="12" spans="1:8" ht="18" customHeight="1">
      <c r="A12" s="132">
        <v>1912</v>
      </c>
      <c r="B12" s="21">
        <v>0.5671642</v>
      </c>
      <c r="C12" s="22">
        <v>0.6598639</v>
      </c>
      <c r="D12" s="22">
        <v>0.6742857</v>
      </c>
      <c r="E12" s="22">
        <v>0.5165289</v>
      </c>
      <c r="F12" s="22">
        <v>0.3313253</v>
      </c>
      <c r="G12" s="22">
        <v>0.1303191</v>
      </c>
      <c r="H12" s="183">
        <v>0.0452675</v>
      </c>
    </row>
    <row r="13" spans="1:8" ht="18" customHeight="1">
      <c r="A13" s="132">
        <v>1922</v>
      </c>
      <c r="B13" s="21">
        <v>0.58</v>
      </c>
      <c r="C13" s="22">
        <v>0.6612903</v>
      </c>
      <c r="D13" s="22">
        <v>0.6480582</v>
      </c>
      <c r="E13" s="22">
        <v>0.5128205</v>
      </c>
      <c r="F13" s="22">
        <v>0.3209302</v>
      </c>
      <c r="G13" s="22">
        <v>0.1306902</v>
      </c>
      <c r="H13" s="183">
        <v>0.0676328</v>
      </c>
    </row>
    <row r="14" spans="1:8" ht="18" customHeight="1">
      <c r="A14" s="132">
        <v>1927</v>
      </c>
      <c r="B14" s="21">
        <v>0.448052</v>
      </c>
      <c r="C14" s="22">
        <v>0.6446541</v>
      </c>
      <c r="D14" s="22">
        <v>0.6524521</v>
      </c>
      <c r="E14" s="22">
        <v>0.497553</v>
      </c>
      <c r="F14" s="22">
        <v>0.3286624</v>
      </c>
      <c r="G14" s="22">
        <v>0.1341146</v>
      </c>
      <c r="H14" s="183">
        <v>0.0352697</v>
      </c>
    </row>
    <row r="15" spans="1:8" ht="18" customHeight="1">
      <c r="A15" s="132">
        <v>1932</v>
      </c>
      <c r="B15" s="21">
        <v>0.4943182</v>
      </c>
      <c r="C15" s="22">
        <v>0.6398602</v>
      </c>
      <c r="D15" s="22">
        <v>0.6259542</v>
      </c>
      <c r="E15" s="22">
        <v>0.5194244</v>
      </c>
      <c r="F15" s="22">
        <v>0.3534676</v>
      </c>
      <c r="G15" s="22">
        <v>0.1784583</v>
      </c>
      <c r="H15" s="183">
        <v>0.0675182</v>
      </c>
    </row>
    <row r="16" spans="1:8" ht="18" customHeight="1">
      <c r="A16" s="132">
        <v>1937</v>
      </c>
      <c r="B16" s="21">
        <v>0.5857143</v>
      </c>
      <c r="C16" s="22">
        <v>0.6877471</v>
      </c>
      <c r="D16" s="22">
        <v>0.6234719</v>
      </c>
      <c r="E16" s="22">
        <v>0.5263909</v>
      </c>
      <c r="F16" s="22">
        <v>0.3508969</v>
      </c>
      <c r="G16" s="22">
        <v>0.1873171</v>
      </c>
      <c r="H16" s="183">
        <v>0.0655226</v>
      </c>
    </row>
    <row r="17" spans="1:8" ht="18" customHeight="1">
      <c r="A17" s="392" t="s">
        <v>103</v>
      </c>
      <c r="B17" s="351"/>
      <c r="C17" s="351"/>
      <c r="D17" s="351"/>
      <c r="E17" s="351"/>
      <c r="F17" s="351"/>
      <c r="G17" s="351"/>
      <c r="H17" s="362"/>
    </row>
    <row r="18" spans="1:8" ht="1.5" customHeight="1">
      <c r="A18" s="130"/>
      <c r="B18" s="19" t="s">
        <v>214</v>
      </c>
      <c r="C18" s="6" t="s">
        <v>215</v>
      </c>
      <c r="D18" s="6" t="s">
        <v>216</v>
      </c>
      <c r="E18" s="6" t="s">
        <v>217</v>
      </c>
      <c r="F18" s="12" t="s">
        <v>218</v>
      </c>
      <c r="G18" s="12" t="s">
        <v>219</v>
      </c>
      <c r="H18" s="131" t="s">
        <v>220</v>
      </c>
    </row>
    <row r="19" spans="1:8" ht="18" customHeight="1">
      <c r="A19" s="132">
        <v>1872</v>
      </c>
      <c r="B19" s="21">
        <v>0.4297521</v>
      </c>
      <c r="C19" s="22">
        <v>0.749104</v>
      </c>
      <c r="D19" s="22">
        <v>0.8231292</v>
      </c>
      <c r="E19" s="22">
        <v>0.7987152</v>
      </c>
      <c r="F19" s="22">
        <v>0.6986817</v>
      </c>
      <c r="G19" s="22">
        <v>0.5440806</v>
      </c>
      <c r="H19" s="183">
        <v>0.3154362</v>
      </c>
    </row>
    <row r="20" spans="1:8" ht="18" customHeight="1">
      <c r="A20" s="132">
        <v>1882</v>
      </c>
      <c r="B20" s="21">
        <v>0.5133333</v>
      </c>
      <c r="C20" s="22">
        <v>0.7857143</v>
      </c>
      <c r="D20" s="22">
        <v>0.8030303</v>
      </c>
      <c r="E20" s="22">
        <v>0.768407</v>
      </c>
      <c r="F20" s="22">
        <v>0.6633941</v>
      </c>
      <c r="G20" s="22">
        <v>0.5229541</v>
      </c>
      <c r="H20" s="183">
        <v>0.3883495</v>
      </c>
    </row>
    <row r="21" spans="1:8" ht="18" customHeight="1">
      <c r="A21" s="132">
        <v>1912</v>
      </c>
      <c r="B21" s="21">
        <v>0.3375</v>
      </c>
      <c r="C21" s="22">
        <v>0.6959065</v>
      </c>
      <c r="D21" s="22">
        <v>0.7192982</v>
      </c>
      <c r="E21" s="22">
        <v>0.787062</v>
      </c>
      <c r="F21" s="22">
        <v>0.669746</v>
      </c>
      <c r="G21" s="22">
        <v>0.480826</v>
      </c>
      <c r="H21" s="183">
        <v>0.3311258</v>
      </c>
    </row>
    <row r="22" spans="1:8" ht="18" customHeight="1">
      <c r="A22" s="132">
        <v>1922</v>
      </c>
      <c r="B22" s="21">
        <v>0.4528302</v>
      </c>
      <c r="C22" s="22">
        <v>0.7060932</v>
      </c>
      <c r="D22" s="22">
        <v>0.7763371</v>
      </c>
      <c r="E22" s="22">
        <v>0.7625</v>
      </c>
      <c r="F22" s="22">
        <v>0.6861314</v>
      </c>
      <c r="G22" s="22">
        <v>0.5646359</v>
      </c>
      <c r="H22" s="183">
        <v>0.392</v>
      </c>
    </row>
    <row r="23" spans="1:8" ht="18" customHeight="1">
      <c r="A23" s="132">
        <v>1927</v>
      </c>
      <c r="B23" s="21">
        <v>0.4375</v>
      </c>
      <c r="C23" s="22">
        <v>0.7402598</v>
      </c>
      <c r="D23" s="22">
        <v>0.8365384</v>
      </c>
      <c r="E23" s="22">
        <v>0.804428</v>
      </c>
      <c r="F23" s="22">
        <v>0.7070447</v>
      </c>
      <c r="G23" s="22">
        <v>0.6139657</v>
      </c>
      <c r="H23" s="183">
        <v>0.3780919</v>
      </c>
    </row>
    <row r="24" spans="1:8" ht="18" customHeight="1">
      <c r="A24" s="132">
        <v>1932</v>
      </c>
      <c r="B24" s="21">
        <v>0.2923976</v>
      </c>
      <c r="C24" s="22">
        <v>0.7335423</v>
      </c>
      <c r="D24" s="22">
        <v>0.8398058</v>
      </c>
      <c r="E24" s="22">
        <v>0.8010753</v>
      </c>
      <c r="F24" s="22">
        <v>0.743266</v>
      </c>
      <c r="G24" s="22">
        <v>0.6372768</v>
      </c>
      <c r="H24" s="183">
        <v>0.415978</v>
      </c>
    </row>
    <row r="25" spans="1:8" ht="18" customHeight="1">
      <c r="A25" s="132">
        <v>1937</v>
      </c>
      <c r="B25" s="21">
        <v>0.4049587</v>
      </c>
      <c r="C25" s="22">
        <v>0.808</v>
      </c>
      <c r="D25" s="22">
        <v>0.8509616</v>
      </c>
      <c r="E25" s="22">
        <v>0.8368469</v>
      </c>
      <c r="F25" s="22">
        <v>0.7760181</v>
      </c>
      <c r="G25" s="22">
        <v>0.6552399</v>
      </c>
      <c r="H25" s="183">
        <v>0.4683258</v>
      </c>
    </row>
    <row r="26" spans="1:8" ht="18" customHeight="1">
      <c r="A26" s="392" t="s">
        <v>104</v>
      </c>
      <c r="B26" s="351"/>
      <c r="C26" s="351"/>
      <c r="D26" s="351"/>
      <c r="E26" s="351"/>
      <c r="F26" s="351"/>
      <c r="G26" s="351"/>
      <c r="H26" s="362"/>
    </row>
    <row r="27" spans="1:8" ht="1.5" customHeight="1">
      <c r="A27" s="130"/>
      <c r="B27" s="19" t="s">
        <v>214</v>
      </c>
      <c r="C27" s="6" t="s">
        <v>215</v>
      </c>
      <c r="D27" s="6" t="s">
        <v>216</v>
      </c>
      <c r="E27" s="6" t="s">
        <v>217</v>
      </c>
      <c r="F27" s="12" t="s">
        <v>218</v>
      </c>
      <c r="G27" s="12" t="s">
        <v>219</v>
      </c>
      <c r="H27" s="131" t="s">
        <v>220</v>
      </c>
    </row>
    <row r="28" spans="1:8" ht="18" customHeight="1">
      <c r="A28" s="132">
        <v>1872</v>
      </c>
      <c r="B28" s="21">
        <v>0.7741935</v>
      </c>
      <c r="C28" s="22">
        <v>0.7455831</v>
      </c>
      <c r="D28" s="22">
        <v>0.6918033</v>
      </c>
      <c r="E28" s="22">
        <v>0.5525424</v>
      </c>
      <c r="F28" s="22">
        <v>0.3685637</v>
      </c>
      <c r="G28" s="22">
        <v>0.1685714</v>
      </c>
      <c r="H28" s="183">
        <v>0.0606061</v>
      </c>
    </row>
    <row r="29" spans="1:8" ht="18" customHeight="1">
      <c r="A29" s="132">
        <v>1882</v>
      </c>
      <c r="B29" s="21">
        <v>0.7837838</v>
      </c>
      <c r="C29" s="22">
        <v>0.7335423</v>
      </c>
      <c r="D29" s="22">
        <v>0.6989796</v>
      </c>
      <c r="E29" s="22">
        <v>0.521327</v>
      </c>
      <c r="F29" s="22">
        <v>0.3346774</v>
      </c>
      <c r="G29" s="22">
        <v>0.161157</v>
      </c>
      <c r="H29" s="183">
        <v>0.0580645</v>
      </c>
    </row>
    <row r="30" spans="1:8" ht="18" customHeight="1">
      <c r="A30" s="132">
        <v>1912</v>
      </c>
      <c r="B30" s="21">
        <v>0.5671642</v>
      </c>
      <c r="C30" s="22">
        <v>0.6598639</v>
      </c>
      <c r="D30" s="22">
        <v>0.6742857</v>
      </c>
      <c r="E30" s="22">
        <v>0.5165289</v>
      </c>
      <c r="F30" s="22">
        <v>0.3313253</v>
      </c>
      <c r="G30" s="22">
        <v>0.1303191</v>
      </c>
      <c r="H30" s="183">
        <v>0.0452675</v>
      </c>
    </row>
    <row r="31" spans="1:8" ht="18" customHeight="1">
      <c r="A31" s="132">
        <v>1922</v>
      </c>
      <c r="B31" s="21">
        <v>0.58</v>
      </c>
      <c r="C31" s="22">
        <v>0.6612903</v>
      </c>
      <c r="D31" s="22">
        <v>0.6480582</v>
      </c>
      <c r="E31" s="22">
        <v>0.5128205</v>
      </c>
      <c r="F31" s="22">
        <v>0.3209302</v>
      </c>
      <c r="G31" s="22">
        <v>0.1306902</v>
      </c>
      <c r="H31" s="183">
        <v>0.0676328</v>
      </c>
    </row>
    <row r="32" spans="1:8" ht="18" customHeight="1">
      <c r="A32" s="132">
        <v>1927</v>
      </c>
      <c r="B32" s="21">
        <v>0.448052</v>
      </c>
      <c r="C32" s="22">
        <v>0.6446541</v>
      </c>
      <c r="D32" s="22">
        <v>0.6524521</v>
      </c>
      <c r="E32" s="22">
        <v>0.497553</v>
      </c>
      <c r="F32" s="22">
        <v>0.3286624</v>
      </c>
      <c r="G32" s="22">
        <v>0.1341146</v>
      </c>
      <c r="H32" s="183">
        <v>0.0352697</v>
      </c>
    </row>
    <row r="33" spans="1:8" ht="18" customHeight="1">
      <c r="A33" s="132">
        <v>1932</v>
      </c>
      <c r="B33" s="21">
        <v>0.4943182</v>
      </c>
      <c r="C33" s="22">
        <v>0.6398602</v>
      </c>
      <c r="D33" s="22">
        <v>0.6259542</v>
      </c>
      <c r="E33" s="22">
        <v>0.5194244</v>
      </c>
      <c r="F33" s="22">
        <v>0.3534676</v>
      </c>
      <c r="G33" s="22">
        <v>0.1784583</v>
      </c>
      <c r="H33" s="183">
        <v>0.0675182</v>
      </c>
    </row>
    <row r="34" spans="1:8" ht="18" customHeight="1">
      <c r="A34" s="132">
        <v>1937</v>
      </c>
      <c r="B34" s="21">
        <v>0.5857143</v>
      </c>
      <c r="C34" s="22">
        <v>0.6877471</v>
      </c>
      <c r="D34" s="22">
        <v>0.6234719</v>
      </c>
      <c r="E34" s="22">
        <v>0.5263909</v>
      </c>
      <c r="F34" s="22">
        <v>0.3508969</v>
      </c>
      <c r="G34" s="22">
        <v>0.1873171</v>
      </c>
      <c r="H34" s="183">
        <v>0.0655226</v>
      </c>
    </row>
    <row r="35" spans="1:8" ht="4.5" customHeight="1" thickBot="1">
      <c r="A35" s="184"/>
      <c r="B35" s="24"/>
      <c r="C35" s="7"/>
      <c r="D35" s="7"/>
      <c r="E35" s="7"/>
      <c r="F35" s="7"/>
      <c r="G35" s="7"/>
      <c r="H35" s="185"/>
    </row>
    <row r="36" spans="1:8" ht="15.75" thickBot="1" thickTop="1">
      <c r="A36" s="327" t="s">
        <v>455</v>
      </c>
      <c r="B36" s="328"/>
      <c r="C36" s="328"/>
      <c r="D36" s="328"/>
      <c r="E36" s="328"/>
      <c r="F36" s="328"/>
      <c r="G36" s="328"/>
      <c r="H36" s="329"/>
    </row>
    <row r="37" ht="15" thickTop="1"/>
  </sheetData>
  <mergeCells count="8">
    <mergeCell ref="A36:H36"/>
    <mergeCell ref="A26:H26"/>
    <mergeCell ref="A8:H8"/>
    <mergeCell ref="A3:H3"/>
    <mergeCell ref="B4:H4"/>
    <mergeCell ref="A5:A7"/>
    <mergeCell ref="B5:H6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1">
      <selection activeCell="A3" sqref="A3:J90"/>
    </sheetView>
  </sheetViews>
  <sheetFormatPr defaultColWidth="11.5546875" defaultRowHeight="15"/>
  <cols>
    <col min="1" max="9" width="9.6640625" style="0" customWidth="1"/>
    <col min="10" max="10" width="10.6640625" style="0" customWidth="1"/>
    <col min="11" max="12" width="9.77734375" style="0" customWidth="1"/>
    <col min="13" max="27" width="10.77734375" style="0" customWidth="1"/>
    <col min="28" max="16384" width="8.88671875" style="0" customWidth="1"/>
  </cols>
  <sheetData>
    <row r="1" spans="1:12" ht="15">
      <c r="A1" s="55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thickTop="1">
      <c r="A3" s="370" t="s">
        <v>276</v>
      </c>
      <c r="B3" s="371"/>
      <c r="C3" s="371"/>
      <c r="D3" s="371"/>
      <c r="E3" s="371"/>
      <c r="F3" s="371"/>
      <c r="G3" s="371"/>
      <c r="H3" s="371"/>
      <c r="I3" s="371"/>
      <c r="J3" s="377"/>
      <c r="K3" s="206"/>
      <c r="L3" s="206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  <c r="K4" s="5"/>
      <c r="L4" s="5"/>
      <c r="M4" s="58"/>
    </row>
    <row r="5" spans="1:12" ht="18" customHeight="1">
      <c r="A5" s="389"/>
      <c r="B5" s="358" t="s">
        <v>221</v>
      </c>
      <c r="C5" s="350"/>
      <c r="D5" s="350"/>
      <c r="E5" s="350"/>
      <c r="F5" s="351"/>
      <c r="G5" s="351"/>
      <c r="H5" s="351"/>
      <c r="I5" s="351"/>
      <c r="J5" s="362"/>
      <c r="K5" s="69"/>
      <c r="L5" s="69"/>
    </row>
    <row r="6" spans="1:12" ht="18" customHeight="1">
      <c r="A6" s="390"/>
      <c r="B6" s="360"/>
      <c r="C6" s="339"/>
      <c r="D6" s="339"/>
      <c r="E6" s="339"/>
      <c r="F6" s="339"/>
      <c r="G6" s="339"/>
      <c r="H6" s="339"/>
      <c r="I6" s="339"/>
      <c r="J6" s="326"/>
      <c r="K6" s="69"/>
      <c r="L6" s="69"/>
    </row>
    <row r="7" spans="1:12" ht="18" customHeight="1">
      <c r="A7" s="391"/>
      <c r="B7" s="17" t="s">
        <v>50</v>
      </c>
      <c r="C7" s="16" t="s">
        <v>41</v>
      </c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46</v>
      </c>
      <c r="I7" s="16" t="s">
        <v>47</v>
      </c>
      <c r="J7" s="182" t="s">
        <v>48</v>
      </c>
      <c r="K7" s="64"/>
      <c r="L7" s="64"/>
    </row>
    <row r="8" spans="1:12" ht="18" customHeight="1">
      <c r="A8" s="132">
        <v>1872</v>
      </c>
      <c r="B8" s="21">
        <f>0.5*B42/$B52</f>
        <v>0</v>
      </c>
      <c r="C8" s="22">
        <f aca="true" t="shared" si="0" ref="C8:F12">0.1*C42/$B52</f>
        <v>0</v>
      </c>
      <c r="D8" s="22">
        <f t="shared" si="0"/>
        <v>0</v>
      </c>
      <c r="E8" s="22">
        <f t="shared" si="0"/>
        <v>0.002142895887604448</v>
      </c>
      <c r="F8" s="22">
        <f t="shared" si="0"/>
        <v>0.031165574382871205</v>
      </c>
      <c r="G8" s="22">
        <f>0.05*G42/$B52</f>
        <v>0.08972485121367006</v>
      </c>
      <c r="H8" s="22">
        <f>0.04*H42/$B52</f>
        <v>0.35472034641163064</v>
      </c>
      <c r="I8" s="22">
        <f>0.009*I42/$B52</f>
        <v>0.33755854088966286</v>
      </c>
      <c r="J8" s="183">
        <f>0.001*J42/$B52</f>
        <v>0.18468779121456075</v>
      </c>
      <c r="K8" s="22"/>
      <c r="L8" s="22"/>
    </row>
    <row r="9" spans="1:12" ht="18" customHeight="1">
      <c r="A9" s="132">
        <v>1872</v>
      </c>
      <c r="B9" s="21">
        <f aca="true" t="shared" si="1" ref="B9:B14">0.5*B43/$B53</f>
        <v>0</v>
      </c>
      <c r="C9" s="22">
        <f t="shared" si="0"/>
        <v>0</v>
      </c>
      <c r="D9" s="22">
        <f t="shared" si="0"/>
        <v>0</v>
      </c>
      <c r="E9" s="22">
        <f t="shared" si="0"/>
        <v>0.0007780282056485267</v>
      </c>
      <c r="F9" s="22">
        <f t="shared" si="0"/>
        <v>0.021897309255699028</v>
      </c>
      <c r="G9" s="22">
        <f aca="true" t="shared" si="2" ref="G9:G14">0.05*G43/$B53</f>
        <v>0.07647793465510198</v>
      </c>
      <c r="H9" s="22">
        <f aca="true" t="shared" si="3" ref="H9:H14">0.04*H43/$B53</f>
        <v>0.3521470302845647</v>
      </c>
      <c r="I9" s="22">
        <f aca="true" t="shared" si="4" ref="I9:I14">0.009*I43/$B53</f>
        <v>0.3775009286561674</v>
      </c>
      <c r="J9" s="183">
        <f aca="true" t="shared" si="5" ref="J9:J14">0.001*J43/$B53</f>
        <v>0.1711987689428181</v>
      </c>
      <c r="K9" s="22"/>
      <c r="L9" s="22"/>
    </row>
    <row r="10" spans="1:12" ht="18" customHeight="1">
      <c r="A10" s="132">
        <v>1912</v>
      </c>
      <c r="B10" s="21">
        <f t="shared" si="1"/>
        <v>0</v>
      </c>
      <c r="C10" s="22">
        <f t="shared" si="0"/>
        <v>0</v>
      </c>
      <c r="D10" s="22">
        <f t="shared" si="0"/>
        <v>0</v>
      </c>
      <c r="E10" s="22">
        <f t="shared" si="0"/>
        <v>0.0015250780081446954</v>
      </c>
      <c r="F10" s="22">
        <f t="shared" si="0"/>
        <v>0.016679723084540354</v>
      </c>
      <c r="G10" s="22">
        <f t="shared" si="2"/>
        <v>0.05563798807242131</v>
      </c>
      <c r="H10" s="22">
        <f t="shared" si="3"/>
        <v>0.29011190394780223</v>
      </c>
      <c r="I10" s="22">
        <f t="shared" si="4"/>
        <v>0.3835257038448507</v>
      </c>
      <c r="J10" s="183">
        <f t="shared" si="5"/>
        <v>0.25251960304224047</v>
      </c>
      <c r="K10" s="22"/>
      <c r="L10" s="22"/>
    </row>
    <row r="11" spans="1:12" ht="18" customHeight="1">
      <c r="A11" s="132">
        <v>1922</v>
      </c>
      <c r="B11" s="21">
        <f t="shared" si="1"/>
        <v>0</v>
      </c>
      <c r="C11" s="22">
        <f t="shared" si="0"/>
        <v>0</v>
      </c>
      <c r="D11" s="22">
        <f t="shared" si="0"/>
        <v>0.00021373464981620357</v>
      </c>
      <c r="E11" s="22">
        <f t="shared" si="0"/>
        <v>0.005875363890934803</v>
      </c>
      <c r="F11" s="22">
        <f t="shared" si="0"/>
        <v>0.03320825023052109</v>
      </c>
      <c r="G11" s="22">
        <f t="shared" si="2"/>
        <v>0.0707449105446441</v>
      </c>
      <c r="H11" s="22">
        <f t="shared" si="3"/>
        <v>0.2854297483903144</v>
      </c>
      <c r="I11" s="22">
        <f t="shared" si="4"/>
        <v>0.33540056316529293</v>
      </c>
      <c r="J11" s="183">
        <f t="shared" si="5"/>
        <v>0.2691274291284761</v>
      </c>
      <c r="K11" s="22"/>
      <c r="L11" s="22"/>
    </row>
    <row r="12" spans="1:12" ht="18" customHeight="1">
      <c r="A12" s="132">
        <v>1927</v>
      </c>
      <c r="B12" s="21">
        <f t="shared" si="1"/>
        <v>0</v>
      </c>
      <c r="C12" s="22">
        <f t="shared" si="0"/>
        <v>0</v>
      </c>
      <c r="D12" s="22">
        <f t="shared" si="0"/>
        <v>7.868190019916724E-05</v>
      </c>
      <c r="E12" s="22">
        <f t="shared" si="0"/>
        <v>0.006613572333284265</v>
      </c>
      <c r="F12" s="22">
        <f t="shared" si="0"/>
        <v>0.033718938748372985</v>
      </c>
      <c r="G12" s="22">
        <f t="shared" si="2"/>
        <v>0.07192485142437262</v>
      </c>
      <c r="H12" s="22">
        <f t="shared" si="3"/>
        <v>0.2950783289783121</v>
      </c>
      <c r="I12" s="22">
        <f t="shared" si="4"/>
        <v>0.3627907926696097</v>
      </c>
      <c r="J12" s="183">
        <f t="shared" si="5"/>
        <v>0.2297948339458491</v>
      </c>
      <c r="K12" s="22"/>
      <c r="L12" s="22"/>
    </row>
    <row r="13" spans="1:12" ht="18" customHeight="1">
      <c r="A13" s="132">
        <v>1932</v>
      </c>
      <c r="B13" s="21">
        <f t="shared" si="1"/>
        <v>0</v>
      </c>
      <c r="C13" s="22">
        <f aca="true" t="shared" si="6" ref="C13:F14">0.1*C47/$B57</f>
        <v>0</v>
      </c>
      <c r="D13" s="22">
        <f t="shared" si="6"/>
        <v>0.002749171658796032</v>
      </c>
      <c r="E13" s="22">
        <f t="shared" si="6"/>
        <v>0.013601658559097415</v>
      </c>
      <c r="F13" s="22">
        <f t="shared" si="6"/>
        <v>0.04798404112184859</v>
      </c>
      <c r="G13" s="22">
        <f t="shared" si="2"/>
        <v>0.08640227054852058</v>
      </c>
      <c r="H13" s="22">
        <f t="shared" si="3"/>
        <v>0.27931358441689647</v>
      </c>
      <c r="I13" s="22">
        <f t="shared" si="4"/>
        <v>0.31146804201417977</v>
      </c>
      <c r="J13" s="183">
        <f t="shared" si="5"/>
        <v>0.25848123168066106</v>
      </c>
      <c r="K13" s="22"/>
      <c r="L13" s="22"/>
    </row>
    <row r="14" spans="1:12" ht="18" customHeight="1">
      <c r="A14" s="132">
        <v>1937</v>
      </c>
      <c r="B14" s="21">
        <f t="shared" si="1"/>
        <v>0</v>
      </c>
      <c r="C14" s="22">
        <f t="shared" si="6"/>
        <v>0.00022751576356908098</v>
      </c>
      <c r="D14" s="22">
        <f t="shared" si="6"/>
        <v>0.006425288759365473</v>
      </c>
      <c r="E14" s="22">
        <f t="shared" si="6"/>
        <v>0.018529810864334494</v>
      </c>
      <c r="F14" s="22">
        <f t="shared" si="6"/>
        <v>0.05542824067987654</v>
      </c>
      <c r="G14" s="22">
        <f t="shared" si="2"/>
        <v>0.09337772343439045</v>
      </c>
      <c r="H14" s="22">
        <f t="shared" si="3"/>
        <v>0.3021723350081077</v>
      </c>
      <c r="I14" s="22">
        <f t="shared" si="4"/>
        <v>0.3121140153061988</v>
      </c>
      <c r="J14" s="183">
        <f t="shared" si="5"/>
        <v>0.2117250701841575</v>
      </c>
      <c r="K14" s="22"/>
      <c r="L14" s="22"/>
    </row>
    <row r="15" spans="1:12" ht="18" customHeight="1">
      <c r="A15" s="389"/>
      <c r="B15" s="358" t="s">
        <v>222</v>
      </c>
      <c r="C15" s="350"/>
      <c r="D15" s="350"/>
      <c r="E15" s="350"/>
      <c r="F15" s="351"/>
      <c r="G15" s="351"/>
      <c r="H15" s="351"/>
      <c r="I15" s="351"/>
      <c r="J15" s="362"/>
      <c r="K15" s="69"/>
      <c r="L15" s="69"/>
    </row>
    <row r="16" spans="1:12" ht="18" customHeight="1">
      <c r="A16" s="390"/>
      <c r="B16" s="360"/>
      <c r="C16" s="339"/>
      <c r="D16" s="339"/>
      <c r="E16" s="339"/>
      <c r="F16" s="339"/>
      <c r="G16" s="339"/>
      <c r="H16" s="339"/>
      <c r="I16" s="339"/>
      <c r="J16" s="326"/>
      <c r="K16" s="69"/>
      <c r="L16" s="69"/>
    </row>
    <row r="17" spans="1:12" ht="18" customHeight="1">
      <c r="A17" s="391"/>
      <c r="B17" s="17" t="s">
        <v>223</v>
      </c>
      <c r="C17" s="16" t="s">
        <v>224</v>
      </c>
      <c r="D17" s="16" t="s">
        <v>225</v>
      </c>
      <c r="E17" s="16" t="s">
        <v>226</v>
      </c>
      <c r="F17" s="16" t="s">
        <v>227</v>
      </c>
      <c r="G17" s="16" t="s">
        <v>228</v>
      </c>
      <c r="H17" s="16" t="s">
        <v>229</v>
      </c>
      <c r="I17" s="16" t="s">
        <v>181</v>
      </c>
      <c r="J17" s="182" t="s">
        <v>48</v>
      </c>
      <c r="K17" s="64"/>
      <c r="L17" s="64"/>
    </row>
    <row r="18" spans="1:12" ht="18" customHeight="1">
      <c r="A18" s="132">
        <v>1872</v>
      </c>
      <c r="B18" s="21">
        <f>SUM(B8:$J8)</f>
        <v>1</v>
      </c>
      <c r="C18" s="21">
        <f>SUM(C8:$J8)</f>
        <v>1</v>
      </c>
      <c r="D18" s="21">
        <f>SUM(D8:$J8)</f>
        <v>1</v>
      </c>
      <c r="E18" s="21">
        <f>SUM(E8:$J8)</f>
        <v>1</v>
      </c>
      <c r="F18" s="21">
        <f>SUM(F8:$J8)</f>
        <v>0.9978571041123956</v>
      </c>
      <c r="G18" s="21">
        <f>SUM(G8:$J8)</f>
        <v>0.9666915297295244</v>
      </c>
      <c r="H18" s="21">
        <f>SUM(H8:$J8)</f>
        <v>0.8769666785158543</v>
      </c>
      <c r="I18" s="21">
        <f>SUM(I8:$J8)</f>
        <v>0.5222463321042237</v>
      </c>
      <c r="J18" s="207">
        <f>SUM(J8:$J8)</f>
        <v>0.18468779121456075</v>
      </c>
      <c r="K18" s="22"/>
      <c r="L18" s="22"/>
    </row>
    <row r="19" spans="1:12" ht="18" customHeight="1">
      <c r="A19" s="132">
        <v>1882</v>
      </c>
      <c r="B19" s="21">
        <f>SUM(B9:$J9)</f>
        <v>0.9999999999999998</v>
      </c>
      <c r="C19" s="21">
        <f>SUM(C9:$J9)</f>
        <v>0.9999999999999998</v>
      </c>
      <c r="D19" s="21">
        <f>SUM(D9:$J9)</f>
        <v>0.9999999999999998</v>
      </c>
      <c r="E19" s="21">
        <f>SUM(E9:$J9)</f>
        <v>0.9999999999999998</v>
      </c>
      <c r="F19" s="21">
        <f>SUM(F9:$J9)</f>
        <v>0.9992219717943511</v>
      </c>
      <c r="G19" s="21">
        <f>SUM(G9:$J9)</f>
        <v>0.9773246625386522</v>
      </c>
      <c r="H19" s="21">
        <f>SUM(H9:$J9)</f>
        <v>0.9008467278835501</v>
      </c>
      <c r="I19" s="21">
        <f>SUM(I9:$J9)</f>
        <v>0.5486996975989855</v>
      </c>
      <c r="J19" s="207">
        <f>SUM(J9:$J9)</f>
        <v>0.1711987689428181</v>
      </c>
      <c r="K19" s="22"/>
      <c r="L19" s="22"/>
    </row>
    <row r="20" spans="1:12" ht="18" customHeight="1">
      <c r="A20" s="132">
        <v>1912</v>
      </c>
      <c r="B20" s="21">
        <f>SUM(B10:$J10)</f>
        <v>0.9999999999999998</v>
      </c>
      <c r="C20" s="21">
        <f>SUM(C10:$J10)</f>
        <v>0.9999999999999998</v>
      </c>
      <c r="D20" s="21">
        <f>SUM(D10:$J10)</f>
        <v>0.9999999999999998</v>
      </c>
      <c r="E20" s="21">
        <f>SUM(E10:$J10)</f>
        <v>0.9999999999999998</v>
      </c>
      <c r="F20" s="21">
        <f>SUM(F10:$J10)</f>
        <v>0.9984749219918552</v>
      </c>
      <c r="G20" s="21">
        <f>SUM(G10:$J10)</f>
        <v>0.9817951989073148</v>
      </c>
      <c r="H20" s="21">
        <f>SUM(H10:$J10)</f>
        <v>0.9261572108348934</v>
      </c>
      <c r="I20" s="21">
        <f>SUM(I10:$J10)</f>
        <v>0.6360453068870912</v>
      </c>
      <c r="J20" s="207">
        <f>SUM(J10:$J10)</f>
        <v>0.25251960304224047</v>
      </c>
      <c r="K20" s="22"/>
      <c r="L20" s="22"/>
    </row>
    <row r="21" spans="1:12" ht="18" customHeight="1">
      <c r="A21" s="132">
        <v>1922</v>
      </c>
      <c r="B21" s="21">
        <f>SUM(B11:$J11)</f>
        <v>0.9999999999999997</v>
      </c>
      <c r="C21" s="21">
        <f>SUM(C11:$J11)</f>
        <v>0.9999999999999997</v>
      </c>
      <c r="D21" s="21">
        <f>SUM(D11:$J11)</f>
        <v>0.9999999999999997</v>
      </c>
      <c r="E21" s="21">
        <f>SUM(E11:$J11)</f>
        <v>0.9997862653501833</v>
      </c>
      <c r="F21" s="21">
        <f>SUM(F11:$J11)</f>
        <v>0.9939109014592485</v>
      </c>
      <c r="G21" s="21">
        <f>SUM(G11:$J11)</f>
        <v>0.9607026512287274</v>
      </c>
      <c r="H21" s="21">
        <f>SUM(H11:$J11)</f>
        <v>0.8899577406840834</v>
      </c>
      <c r="I21" s="21">
        <f>SUM(I11:$J11)</f>
        <v>0.604527992293769</v>
      </c>
      <c r="J21" s="207">
        <f>SUM(J11:$J11)</f>
        <v>0.2691274291284761</v>
      </c>
      <c r="K21" s="22"/>
      <c r="L21" s="22"/>
    </row>
    <row r="22" spans="1:12" ht="18" customHeight="1">
      <c r="A22" s="132">
        <v>1927</v>
      </c>
      <c r="B22" s="21">
        <f>SUM(B12:$J12)</f>
        <v>0.9999999999999999</v>
      </c>
      <c r="C22" s="21">
        <f>SUM(C12:$J12)</f>
        <v>0.9999999999999999</v>
      </c>
      <c r="D22" s="21">
        <f>SUM(D12:$J12)</f>
        <v>0.9999999999999999</v>
      </c>
      <c r="E22" s="21">
        <f>SUM(E12:$J12)</f>
        <v>0.9999213180998008</v>
      </c>
      <c r="F22" s="21">
        <f>SUM(F12:$J12)</f>
        <v>0.9933077457665165</v>
      </c>
      <c r="G22" s="21">
        <f>SUM(G12:$J12)</f>
        <v>0.9595888070181435</v>
      </c>
      <c r="H22" s="21">
        <f>SUM(H12:$J12)</f>
        <v>0.8876639555937709</v>
      </c>
      <c r="I22" s="21">
        <f>SUM(I12:$J12)</f>
        <v>0.5925856266154588</v>
      </c>
      <c r="J22" s="207">
        <f>SUM(J12:$J12)</f>
        <v>0.2297948339458491</v>
      </c>
      <c r="K22" s="22"/>
      <c r="L22" s="22"/>
    </row>
    <row r="23" spans="1:12" ht="18" customHeight="1">
      <c r="A23" s="132">
        <v>1932</v>
      </c>
      <c r="B23" s="21">
        <f>SUM(B13:$J13)</f>
        <v>0.9999999999999999</v>
      </c>
      <c r="C23" s="21">
        <f>SUM(C13:$J13)</f>
        <v>0.9999999999999999</v>
      </c>
      <c r="D23" s="21">
        <f>SUM(D13:$J13)</f>
        <v>0.9999999999999999</v>
      </c>
      <c r="E23" s="21">
        <f>SUM(E13:$J13)</f>
        <v>0.9972508283412038</v>
      </c>
      <c r="F23" s="21">
        <f>SUM(F13:$J13)</f>
        <v>0.9836491697821065</v>
      </c>
      <c r="G23" s="21">
        <f>SUM(G13:$J13)</f>
        <v>0.9356651286602579</v>
      </c>
      <c r="H23" s="21">
        <f>SUM(H13:$J13)</f>
        <v>0.8492628581117373</v>
      </c>
      <c r="I23" s="21">
        <f>SUM(I13:$J13)</f>
        <v>0.5699492736948408</v>
      </c>
      <c r="J23" s="207">
        <f>SUM(J13:$J13)</f>
        <v>0.25848123168066106</v>
      </c>
      <c r="K23" s="22"/>
      <c r="L23" s="22"/>
    </row>
    <row r="24" spans="1:12" ht="18" customHeight="1">
      <c r="A24" s="132">
        <v>1937</v>
      </c>
      <c r="B24" s="21">
        <f>SUM(B14:$J14)</f>
        <v>1</v>
      </c>
      <c r="C24" s="21">
        <f>SUM(C14:$J14)</f>
        <v>1</v>
      </c>
      <c r="D24" s="21">
        <f>SUM(D14:$J14)</f>
        <v>0.9997724842364311</v>
      </c>
      <c r="E24" s="21">
        <f>SUM(E14:$J14)</f>
        <v>0.9933471954770655</v>
      </c>
      <c r="F24" s="21">
        <f>SUM(F14:$J14)</f>
        <v>0.974817384612731</v>
      </c>
      <c r="G24" s="21">
        <f>SUM(G14:$J14)</f>
        <v>0.9193891439328545</v>
      </c>
      <c r="H24" s="21">
        <f>SUM(H14:$J14)</f>
        <v>0.8260114204984641</v>
      </c>
      <c r="I24" s="21">
        <f>SUM(I14:$J14)</f>
        <v>0.5238390854903563</v>
      </c>
      <c r="J24" s="207">
        <f>SUM(J14:$J14)</f>
        <v>0.2117250701841575</v>
      </c>
      <c r="K24" s="22"/>
      <c r="L24" s="22"/>
    </row>
    <row r="25" spans="1:12" ht="4.5" customHeight="1">
      <c r="A25" s="132"/>
      <c r="B25" s="29"/>
      <c r="C25" s="30"/>
      <c r="D25" s="30"/>
      <c r="E25" s="30"/>
      <c r="F25" s="30"/>
      <c r="G25" s="30"/>
      <c r="H25" s="30"/>
      <c r="I25" s="30"/>
      <c r="J25" s="161"/>
      <c r="K25" s="30"/>
      <c r="L25" s="30"/>
    </row>
    <row r="26" spans="1:12" ht="18" customHeight="1">
      <c r="A26" s="389"/>
      <c r="B26" s="358" t="s">
        <v>49</v>
      </c>
      <c r="C26" s="350"/>
      <c r="D26" s="350"/>
      <c r="E26" s="350"/>
      <c r="F26" s="351"/>
      <c r="G26" s="351"/>
      <c r="H26" s="351"/>
      <c r="I26" s="351"/>
      <c r="J26" s="362"/>
      <c r="K26" s="69"/>
      <c r="L26" s="69"/>
    </row>
    <row r="27" spans="1:12" ht="18" customHeight="1">
      <c r="A27" s="390"/>
      <c r="B27" s="360"/>
      <c r="C27" s="339"/>
      <c r="D27" s="339"/>
      <c r="E27" s="339"/>
      <c r="F27" s="339"/>
      <c r="G27" s="339"/>
      <c r="H27" s="339"/>
      <c r="I27" s="339"/>
      <c r="J27" s="326"/>
      <c r="K27" s="69"/>
      <c r="L27" s="69"/>
    </row>
    <row r="28" spans="1:12" ht="18" customHeight="1">
      <c r="A28" s="391"/>
      <c r="B28" s="17" t="s">
        <v>51</v>
      </c>
      <c r="C28" s="16" t="s">
        <v>40</v>
      </c>
      <c r="D28" s="16" t="s">
        <v>33</v>
      </c>
      <c r="E28" s="16" t="s">
        <v>34</v>
      </c>
      <c r="F28" s="16" t="s">
        <v>35</v>
      </c>
      <c r="G28" s="16" t="s">
        <v>36</v>
      </c>
      <c r="H28" s="16" t="s">
        <v>37</v>
      </c>
      <c r="I28" s="16" t="s">
        <v>38</v>
      </c>
      <c r="J28" s="182" t="s">
        <v>39</v>
      </c>
      <c r="K28" s="64"/>
      <c r="L28" s="64"/>
    </row>
    <row r="29" spans="1:12" ht="1.5" customHeight="1">
      <c r="A29" s="130"/>
      <c r="B29" s="19" t="s">
        <v>230</v>
      </c>
      <c r="C29" s="6" t="s">
        <v>212</v>
      </c>
      <c r="D29" s="6" t="s">
        <v>122</v>
      </c>
      <c r="E29" s="6" t="s">
        <v>123</v>
      </c>
      <c r="F29" s="6" t="s">
        <v>124</v>
      </c>
      <c r="G29" s="6" t="s">
        <v>125</v>
      </c>
      <c r="H29" s="12" t="s">
        <v>126</v>
      </c>
      <c r="I29" s="12" t="s">
        <v>127</v>
      </c>
      <c r="J29" s="131" t="s">
        <v>128</v>
      </c>
      <c r="K29" s="12"/>
      <c r="L29" s="12"/>
    </row>
    <row r="30" spans="1:12" ht="18" customHeight="1">
      <c r="A30" s="132">
        <v>1872</v>
      </c>
      <c r="B30" s="56">
        <v>0</v>
      </c>
      <c r="C30" s="57">
        <v>0</v>
      </c>
      <c r="D30" s="30">
        <v>0</v>
      </c>
      <c r="E30" s="30">
        <v>0</v>
      </c>
      <c r="F30" s="30">
        <v>1702</v>
      </c>
      <c r="G30" s="30">
        <v>20795</v>
      </c>
      <c r="H30" s="30">
        <v>84637</v>
      </c>
      <c r="I30" s="30">
        <v>536032</v>
      </c>
      <c r="J30" s="161">
        <v>2238782</v>
      </c>
      <c r="K30" s="30"/>
      <c r="L30" s="30"/>
    </row>
    <row r="31" spans="1:12" ht="18" customHeight="1">
      <c r="A31" s="132">
        <v>1882</v>
      </c>
      <c r="B31" s="56">
        <v>0</v>
      </c>
      <c r="C31" s="57">
        <v>0</v>
      </c>
      <c r="D31" s="30">
        <v>0</v>
      </c>
      <c r="E31" s="30">
        <v>0</v>
      </c>
      <c r="F31" s="30">
        <v>851</v>
      </c>
      <c r="G31" s="30">
        <v>16459</v>
      </c>
      <c r="H31" s="30">
        <v>80445</v>
      </c>
      <c r="I31" s="30">
        <v>585988</v>
      </c>
      <c r="J31" s="161">
        <v>2299540</v>
      </c>
      <c r="K31" s="30"/>
      <c r="L31" s="30"/>
    </row>
    <row r="32" spans="1:12" ht="18" customHeight="1">
      <c r="A32" s="132">
        <v>1912</v>
      </c>
      <c r="B32" s="56">
        <v>0</v>
      </c>
      <c r="C32" s="57">
        <v>0</v>
      </c>
      <c r="D32" s="30">
        <v>0</v>
      </c>
      <c r="E32" s="30">
        <v>0</v>
      </c>
      <c r="F32" s="30">
        <v>1630</v>
      </c>
      <c r="G32" s="30">
        <v>17071</v>
      </c>
      <c r="H32" s="30">
        <v>89357</v>
      </c>
      <c r="I32" s="30">
        <v>799388</v>
      </c>
      <c r="J32" s="161">
        <v>4127106</v>
      </c>
      <c r="K32" s="30"/>
      <c r="L32" s="30"/>
    </row>
    <row r="33" spans="1:12" ht="18" customHeight="1">
      <c r="A33" s="132">
        <v>1922</v>
      </c>
      <c r="B33" s="56">
        <v>0</v>
      </c>
      <c r="C33" s="57">
        <v>0</v>
      </c>
      <c r="D33" s="30">
        <v>0</v>
      </c>
      <c r="E33" s="30">
        <v>853</v>
      </c>
      <c r="F33" s="30">
        <v>6699</v>
      </c>
      <c r="G33" s="30">
        <v>39320</v>
      </c>
      <c r="H33" s="30">
        <v>143424</v>
      </c>
      <c r="I33" s="30">
        <v>1043066</v>
      </c>
      <c r="J33" s="161">
        <v>5000355</v>
      </c>
      <c r="K33" s="30"/>
      <c r="L33" s="30"/>
    </row>
    <row r="34" spans="1:12" ht="18" customHeight="1">
      <c r="A34" s="132">
        <v>1927</v>
      </c>
      <c r="B34" s="56">
        <v>0</v>
      </c>
      <c r="C34" s="57">
        <v>0</v>
      </c>
      <c r="D34" s="30">
        <v>0</v>
      </c>
      <c r="E34" s="30">
        <v>956</v>
      </c>
      <c r="F34" s="30">
        <v>11276</v>
      </c>
      <c r="G34" s="30">
        <v>59466</v>
      </c>
      <c r="H34" s="30">
        <v>216157</v>
      </c>
      <c r="I34" s="30">
        <v>1630855</v>
      </c>
      <c r="J34" s="161">
        <v>8379278</v>
      </c>
      <c r="K34" s="30"/>
      <c r="L34" s="30"/>
    </row>
    <row r="35" spans="1:12" ht="18" customHeight="1">
      <c r="A35" s="132">
        <v>1932</v>
      </c>
      <c r="B35" s="56">
        <v>0</v>
      </c>
      <c r="C35" s="57">
        <v>0</v>
      </c>
      <c r="D35" s="30">
        <v>0</v>
      </c>
      <c r="E35" s="30">
        <v>7396</v>
      </c>
      <c r="F35" s="30">
        <v>23622</v>
      </c>
      <c r="G35" s="30">
        <v>100377</v>
      </c>
      <c r="H35" s="30">
        <v>312066</v>
      </c>
      <c r="I35" s="30">
        <v>1849830</v>
      </c>
      <c r="J35" s="161">
        <v>9420278</v>
      </c>
      <c r="K35" s="30"/>
      <c r="L35" s="30"/>
    </row>
    <row r="36" spans="1:12" ht="18" customHeight="1">
      <c r="A36" s="132">
        <v>1937</v>
      </c>
      <c r="B36" s="56">
        <v>0</v>
      </c>
      <c r="C36" s="57">
        <v>0</v>
      </c>
      <c r="D36" s="30">
        <v>1686</v>
      </c>
      <c r="E36" s="30">
        <v>10373</v>
      </c>
      <c r="F36" s="30">
        <v>26564</v>
      </c>
      <c r="G36" s="30">
        <v>96656</v>
      </c>
      <c r="H36" s="30">
        <v>296952</v>
      </c>
      <c r="I36" s="30">
        <v>1758892</v>
      </c>
      <c r="J36" s="161">
        <v>7042234</v>
      </c>
      <c r="K36" s="30"/>
      <c r="L36" s="30"/>
    </row>
    <row r="37" spans="1:12" ht="4.5" customHeight="1">
      <c r="A37" s="132"/>
      <c r="B37" s="29"/>
      <c r="C37" s="30"/>
      <c r="D37" s="30"/>
      <c r="E37" s="30"/>
      <c r="F37" s="30"/>
      <c r="G37" s="30"/>
      <c r="H37" s="30"/>
      <c r="I37" s="30"/>
      <c r="J37" s="161"/>
      <c r="K37" s="30"/>
      <c r="L37" s="30"/>
    </row>
    <row r="38" spans="1:12" ht="18" customHeight="1">
      <c r="A38" s="389"/>
      <c r="B38" s="358" t="s">
        <v>245</v>
      </c>
      <c r="C38" s="350"/>
      <c r="D38" s="350"/>
      <c r="E38" s="350"/>
      <c r="F38" s="351"/>
      <c r="G38" s="351"/>
      <c r="H38" s="351"/>
      <c r="I38" s="351"/>
      <c r="J38" s="362"/>
      <c r="K38" s="69"/>
      <c r="L38" s="69"/>
    </row>
    <row r="39" spans="1:12" ht="18" customHeight="1">
      <c r="A39" s="390"/>
      <c r="B39" s="360"/>
      <c r="C39" s="339"/>
      <c r="D39" s="339"/>
      <c r="E39" s="339"/>
      <c r="F39" s="339"/>
      <c r="G39" s="339"/>
      <c r="H39" s="339"/>
      <c r="I39" s="339"/>
      <c r="J39" s="326"/>
      <c r="K39" s="69"/>
      <c r="L39" s="69"/>
    </row>
    <row r="40" spans="1:14" ht="18" customHeight="1">
      <c r="A40" s="391"/>
      <c r="B40" s="17" t="s">
        <v>50</v>
      </c>
      <c r="C40" s="16" t="s">
        <v>41</v>
      </c>
      <c r="D40" s="16" t="s">
        <v>42</v>
      </c>
      <c r="E40" s="16" t="s">
        <v>43</v>
      </c>
      <c r="F40" s="16" t="s">
        <v>44</v>
      </c>
      <c r="G40" s="16" t="s">
        <v>45</v>
      </c>
      <c r="H40" s="16" t="s">
        <v>46</v>
      </c>
      <c r="I40" s="16" t="s">
        <v>47</v>
      </c>
      <c r="J40" s="182" t="s">
        <v>48</v>
      </c>
      <c r="K40" s="64"/>
      <c r="L40" s="64"/>
      <c r="M40" s="102" t="s">
        <v>339</v>
      </c>
      <c r="N40" s="102" t="s">
        <v>340</v>
      </c>
    </row>
    <row r="41" spans="1:12" ht="1.5" customHeight="1">
      <c r="A41" s="130"/>
      <c r="B41" s="19" t="s">
        <v>230</v>
      </c>
      <c r="C41" s="6" t="s">
        <v>212</v>
      </c>
      <c r="D41" s="6" t="s">
        <v>122</v>
      </c>
      <c r="E41" s="6" t="s">
        <v>123</v>
      </c>
      <c r="F41" s="6" t="s">
        <v>124</v>
      </c>
      <c r="G41" s="6" t="s">
        <v>125</v>
      </c>
      <c r="H41" s="12" t="s">
        <v>126</v>
      </c>
      <c r="I41" s="12" t="s">
        <v>127</v>
      </c>
      <c r="J41" s="131" t="s">
        <v>128</v>
      </c>
      <c r="K41" s="12"/>
      <c r="L41" s="12"/>
    </row>
    <row r="42" spans="1:14" ht="18" customHeight="1">
      <c r="A42" s="132">
        <v>1872</v>
      </c>
      <c r="B42" s="56">
        <v>0</v>
      </c>
      <c r="C42" s="57">
        <v>0</v>
      </c>
      <c r="D42" s="30">
        <v>0</v>
      </c>
      <c r="E42" s="30">
        <v>534.7576</v>
      </c>
      <c r="F42" s="30">
        <v>7777.339</v>
      </c>
      <c r="G42" s="30">
        <v>44781.5</v>
      </c>
      <c r="H42" s="30">
        <v>221300.3</v>
      </c>
      <c r="I42" s="30">
        <v>935971.2</v>
      </c>
      <c r="J42" s="161">
        <v>4608866</v>
      </c>
      <c r="K42" s="30"/>
      <c r="L42" s="30"/>
      <c r="M42" s="95">
        <f aca="true" t="shared" si="7" ref="M42:M48">(0.5*G42+0.4*H42+0.09*I42+0.01*J42)/G30</f>
        <v>11.60071834575619</v>
      </c>
      <c r="N42" s="95">
        <f aca="true" t="shared" si="8" ref="N42:N48">(0.9*I42+0.1*J42)/I30</f>
        <v>2.431311339621515</v>
      </c>
    </row>
    <row r="43" spans="1:14" ht="18" customHeight="1">
      <c r="A43" s="132">
        <v>1882</v>
      </c>
      <c r="B43" s="56">
        <v>0</v>
      </c>
      <c r="C43" s="57">
        <v>0</v>
      </c>
      <c r="D43" s="30">
        <v>0</v>
      </c>
      <c r="E43" s="30">
        <v>195.9185</v>
      </c>
      <c r="F43" s="30">
        <v>5514.052</v>
      </c>
      <c r="G43" s="30">
        <v>38516.45</v>
      </c>
      <c r="H43" s="30">
        <v>221689</v>
      </c>
      <c r="I43" s="30">
        <v>1056223</v>
      </c>
      <c r="J43" s="161">
        <v>4311027</v>
      </c>
      <c r="K43" s="30"/>
      <c r="L43" s="30"/>
      <c r="M43" s="95">
        <f t="shared" si="7"/>
        <v>14.952558782429069</v>
      </c>
      <c r="N43" s="95">
        <f t="shared" si="8"/>
        <v>2.3579039161211495</v>
      </c>
    </row>
    <row r="44" spans="1:14" ht="18" customHeight="1">
      <c r="A44" s="132">
        <v>1912</v>
      </c>
      <c r="B44" s="56">
        <v>0</v>
      </c>
      <c r="C44" s="57">
        <v>0</v>
      </c>
      <c r="D44" s="30">
        <v>0</v>
      </c>
      <c r="E44" s="30">
        <v>568.8992</v>
      </c>
      <c r="F44" s="30">
        <v>6222.03</v>
      </c>
      <c r="G44" s="30">
        <v>41509.23</v>
      </c>
      <c r="H44" s="30">
        <v>270550.8</v>
      </c>
      <c r="I44" s="30">
        <v>1589627</v>
      </c>
      <c r="J44" s="161">
        <v>9419728</v>
      </c>
      <c r="K44" s="30"/>
      <c r="L44" s="30"/>
      <c r="M44" s="95">
        <f t="shared" si="7"/>
        <v>21.453848339288854</v>
      </c>
      <c r="N44" s="95">
        <f t="shared" si="8"/>
        <v>2.968066946213854</v>
      </c>
    </row>
    <row r="45" spans="1:14" ht="18" customHeight="1">
      <c r="A45" s="132">
        <v>1922</v>
      </c>
      <c r="B45" s="56">
        <v>0</v>
      </c>
      <c r="C45" s="57">
        <v>0</v>
      </c>
      <c r="D45" s="30">
        <v>114.3614</v>
      </c>
      <c r="E45" s="30">
        <v>3143.687</v>
      </c>
      <c r="F45" s="30">
        <v>17768.49</v>
      </c>
      <c r="G45" s="30">
        <v>75705.9</v>
      </c>
      <c r="H45" s="30">
        <v>381806.9</v>
      </c>
      <c r="I45" s="30">
        <v>1994003</v>
      </c>
      <c r="J45" s="161">
        <v>14400000</v>
      </c>
      <c r="K45" s="30"/>
      <c r="L45" s="30"/>
      <c r="M45" s="95">
        <f t="shared" si="7"/>
        <v>13.073142929806714</v>
      </c>
      <c r="N45" s="95">
        <f t="shared" si="8"/>
        <v>3.1010527617619594</v>
      </c>
    </row>
    <row r="46" spans="1:14" ht="18" customHeight="1">
      <c r="A46" s="132">
        <v>1927</v>
      </c>
      <c r="B46" s="56">
        <v>0</v>
      </c>
      <c r="C46" s="57">
        <v>0</v>
      </c>
      <c r="D46" s="30">
        <v>63.34412</v>
      </c>
      <c r="E46" s="30">
        <v>5324.362</v>
      </c>
      <c r="F46" s="30">
        <v>27145.97</v>
      </c>
      <c r="G46" s="30">
        <v>115808.5</v>
      </c>
      <c r="H46" s="30">
        <v>593893.8</v>
      </c>
      <c r="I46" s="30">
        <v>3245228</v>
      </c>
      <c r="J46" s="161">
        <v>18500000</v>
      </c>
      <c r="K46" s="30"/>
      <c r="L46" s="30"/>
      <c r="M46" s="95">
        <f t="shared" si="7"/>
        <v>12.991159486092894</v>
      </c>
      <c r="N46" s="95">
        <f t="shared" si="8"/>
        <v>2.9252785808670914</v>
      </c>
    </row>
    <row r="47" spans="1:14" ht="18" customHeight="1">
      <c r="A47" s="132">
        <v>1932</v>
      </c>
      <c r="B47" s="56">
        <v>0</v>
      </c>
      <c r="C47" s="57">
        <v>0</v>
      </c>
      <c r="D47" s="30">
        <v>2850.412</v>
      </c>
      <c r="E47" s="30">
        <v>14102.55</v>
      </c>
      <c r="F47" s="30">
        <v>49751.09</v>
      </c>
      <c r="G47" s="30">
        <v>179168.2</v>
      </c>
      <c r="H47" s="30">
        <v>723998.8</v>
      </c>
      <c r="I47" s="30">
        <v>3588201</v>
      </c>
      <c r="J47" s="161">
        <v>26800000</v>
      </c>
      <c r="K47" s="30"/>
      <c r="L47" s="30"/>
      <c r="M47" s="95">
        <f t="shared" si="7"/>
        <v>9.664780876097113</v>
      </c>
      <c r="N47" s="95">
        <f t="shared" si="8"/>
        <v>3.194553499510766</v>
      </c>
    </row>
    <row r="48" spans="1:14" ht="18" customHeight="1">
      <c r="A48" s="132">
        <v>1937</v>
      </c>
      <c r="B48" s="56">
        <v>0</v>
      </c>
      <c r="C48" s="57">
        <v>210.6179</v>
      </c>
      <c r="D48" s="30">
        <v>5948.075</v>
      </c>
      <c r="E48" s="30">
        <v>17153.58</v>
      </c>
      <c r="F48" s="30">
        <v>51311.52</v>
      </c>
      <c r="G48" s="30">
        <v>172884.9</v>
      </c>
      <c r="H48" s="30">
        <v>699324.1</v>
      </c>
      <c r="I48" s="30">
        <v>3210366</v>
      </c>
      <c r="J48" s="161">
        <v>19600000</v>
      </c>
      <c r="K48" s="30"/>
      <c r="L48" s="30"/>
      <c r="M48" s="95">
        <f t="shared" si="7"/>
        <v>8.80550643519285</v>
      </c>
      <c r="N48" s="95">
        <f t="shared" si="8"/>
        <v>2.7570364752355463</v>
      </c>
    </row>
    <row r="49" spans="1:14" ht="18" customHeight="1">
      <c r="A49" s="389"/>
      <c r="B49" s="358" t="s">
        <v>246</v>
      </c>
      <c r="C49" s="350"/>
      <c r="D49" s="350"/>
      <c r="E49" s="350"/>
      <c r="F49" s="351"/>
      <c r="G49" s="351"/>
      <c r="H49" s="351"/>
      <c r="I49" s="351"/>
      <c r="J49" s="362"/>
      <c r="K49" s="69"/>
      <c r="L49" s="69"/>
      <c r="M49" s="95"/>
      <c r="N49" s="95"/>
    </row>
    <row r="50" spans="1:14" ht="18" customHeight="1">
      <c r="A50" s="390"/>
      <c r="B50" s="360"/>
      <c r="C50" s="339"/>
      <c r="D50" s="339"/>
      <c r="E50" s="339"/>
      <c r="F50" s="339"/>
      <c r="G50" s="339"/>
      <c r="H50" s="339"/>
      <c r="I50" s="339"/>
      <c r="J50" s="326"/>
      <c r="K50" s="69"/>
      <c r="L50" s="69"/>
      <c r="M50" s="95"/>
      <c r="N50" s="95"/>
    </row>
    <row r="51" spans="1:14" ht="18" customHeight="1">
      <c r="A51" s="391"/>
      <c r="B51" s="17" t="s">
        <v>223</v>
      </c>
      <c r="C51" s="16" t="s">
        <v>224</v>
      </c>
      <c r="D51" s="16" t="s">
        <v>225</v>
      </c>
      <c r="E51" s="16" t="s">
        <v>226</v>
      </c>
      <c r="F51" s="16" t="s">
        <v>227</v>
      </c>
      <c r="G51" s="16" t="s">
        <v>228</v>
      </c>
      <c r="H51" s="16" t="s">
        <v>229</v>
      </c>
      <c r="I51" s="16" t="s">
        <v>181</v>
      </c>
      <c r="J51" s="182" t="s">
        <v>48</v>
      </c>
      <c r="K51" s="64"/>
      <c r="L51" s="64"/>
      <c r="N51" s="103" t="s">
        <v>341</v>
      </c>
    </row>
    <row r="52" spans="1:14" ht="18" customHeight="1">
      <c r="A52" s="132">
        <v>1872</v>
      </c>
      <c r="B52" s="29">
        <f aca="true" t="shared" si="9" ref="B52:B58">0.5*B42+0.5*C52</f>
        <v>24954.90346</v>
      </c>
      <c r="C52" s="30">
        <f aca="true" t="shared" si="10" ref="C52:C58">0.2*C42+0.8*D52</f>
        <v>49909.80692</v>
      </c>
      <c r="D52" s="30">
        <f aca="true" t="shared" si="11" ref="D52:D58">0.25*D42+0.75*E52</f>
        <v>62387.25865</v>
      </c>
      <c r="E52" s="30">
        <f aca="true" t="shared" si="12" ref="E52:E58">E42/3+2*F52/3</f>
        <v>83183.01153333334</v>
      </c>
      <c r="F52" s="30">
        <f aca="true" t="shared" si="13" ref="F52:G58">0.5*F42+0.5*G52</f>
        <v>124507.1385</v>
      </c>
      <c r="G52" s="30">
        <f t="shared" si="13"/>
        <v>241236.938</v>
      </c>
      <c r="H52" s="30">
        <f aca="true" t="shared" si="14" ref="H52:H58">0.8*H42+0.2*I52</f>
        <v>437692.376</v>
      </c>
      <c r="I52" s="30">
        <f aca="true" t="shared" si="15" ref="I52:I58">0.9*I42+0.1*J42</f>
        <v>1303260.68</v>
      </c>
      <c r="J52" s="161">
        <f aca="true" t="shared" si="16" ref="J52:J58">J42</f>
        <v>4608866</v>
      </c>
      <c r="K52" s="30"/>
      <c r="L52" s="30"/>
      <c r="N52" s="101">
        <f>B52/TableB1!G9</f>
        <v>0.9946779140499487</v>
      </c>
    </row>
    <row r="53" spans="1:14" ht="18" customHeight="1">
      <c r="A53" s="132">
        <v>1882</v>
      </c>
      <c r="B53" s="29">
        <f t="shared" si="9"/>
        <v>25181.413550000005</v>
      </c>
      <c r="C53" s="30">
        <f t="shared" si="10"/>
        <v>50362.82710000001</v>
      </c>
      <c r="D53" s="30">
        <f t="shared" si="11"/>
        <v>62953.53387500001</v>
      </c>
      <c r="E53" s="30">
        <f t="shared" si="12"/>
        <v>83938.04516666668</v>
      </c>
      <c r="F53" s="30">
        <f t="shared" si="13"/>
        <v>125809.10850000002</v>
      </c>
      <c r="G53" s="30">
        <f t="shared" si="13"/>
        <v>246104.16500000004</v>
      </c>
      <c r="H53" s="30">
        <f t="shared" si="14"/>
        <v>453691.88000000006</v>
      </c>
      <c r="I53" s="30">
        <f t="shared" si="15"/>
        <v>1381703.4000000001</v>
      </c>
      <c r="J53" s="161">
        <f t="shared" si="16"/>
        <v>4311027</v>
      </c>
      <c r="K53" s="30"/>
      <c r="L53" s="30"/>
      <c r="N53" s="101">
        <f>B53/TableB1!G10</f>
        <v>0.9980207058532179</v>
      </c>
    </row>
    <row r="54" spans="1:14" ht="18" customHeight="1">
      <c r="A54" s="132">
        <v>1912</v>
      </c>
      <c r="B54" s="29">
        <f t="shared" si="9"/>
        <v>37302.957420000006</v>
      </c>
      <c r="C54" s="30">
        <f t="shared" si="10"/>
        <v>74605.91484000001</v>
      </c>
      <c r="D54" s="30">
        <f t="shared" si="11"/>
        <v>93257.39355000001</v>
      </c>
      <c r="E54" s="30">
        <f t="shared" si="12"/>
        <v>124343.19140000001</v>
      </c>
      <c r="F54" s="30">
        <f t="shared" si="13"/>
        <v>186230.33750000002</v>
      </c>
      <c r="G54" s="30">
        <f t="shared" si="13"/>
        <v>366238.645</v>
      </c>
      <c r="H54" s="30">
        <f t="shared" si="14"/>
        <v>690968.06</v>
      </c>
      <c r="I54" s="30">
        <f t="shared" si="15"/>
        <v>2372637.1</v>
      </c>
      <c r="J54" s="161">
        <f t="shared" si="16"/>
        <v>9419728</v>
      </c>
      <c r="K54" s="30"/>
      <c r="L54" s="30"/>
      <c r="N54" s="101">
        <f>B54/TableB1!G11</f>
        <v>0.998425484981001</v>
      </c>
    </row>
    <row r="55" spans="1:14" ht="18" customHeight="1">
      <c r="A55" s="132">
        <v>1922</v>
      </c>
      <c r="B55" s="29">
        <f t="shared" si="9"/>
        <v>53506.25184000002</v>
      </c>
      <c r="C55" s="30">
        <f t="shared" si="10"/>
        <v>107012.50368000004</v>
      </c>
      <c r="D55" s="30">
        <f t="shared" si="11"/>
        <v>133765.62960000004</v>
      </c>
      <c r="E55" s="30">
        <f t="shared" si="12"/>
        <v>178316.05233333338</v>
      </c>
      <c r="F55" s="30">
        <f t="shared" si="13"/>
        <v>265902.23500000004</v>
      </c>
      <c r="G55" s="30">
        <f t="shared" si="13"/>
        <v>514035.98000000004</v>
      </c>
      <c r="H55" s="30">
        <f t="shared" si="14"/>
        <v>952366.06</v>
      </c>
      <c r="I55" s="30">
        <f t="shared" si="15"/>
        <v>3234602.7</v>
      </c>
      <c r="J55" s="161">
        <f t="shared" si="16"/>
        <v>14400000</v>
      </c>
      <c r="K55" s="30"/>
      <c r="L55" s="30"/>
      <c r="N55" s="101">
        <f>B55/TableB1!G12</f>
        <v>0.9930102234822913</v>
      </c>
    </row>
    <row r="56" spans="1:14" ht="18" customHeight="1">
      <c r="A56" s="132">
        <v>1927</v>
      </c>
      <c r="B56" s="29">
        <f t="shared" si="9"/>
        <v>80506.59661200001</v>
      </c>
      <c r="C56" s="30">
        <f t="shared" si="10"/>
        <v>161013.19322400002</v>
      </c>
      <c r="D56" s="30">
        <f t="shared" si="11"/>
        <v>201266.49153</v>
      </c>
      <c r="E56" s="30">
        <f t="shared" si="12"/>
        <v>268334.2073333333</v>
      </c>
      <c r="F56" s="30">
        <f t="shared" si="13"/>
        <v>399839.13</v>
      </c>
      <c r="G56" s="30">
        <f t="shared" si="13"/>
        <v>772532.29</v>
      </c>
      <c r="H56" s="30">
        <f t="shared" si="14"/>
        <v>1429256.08</v>
      </c>
      <c r="I56" s="30">
        <f t="shared" si="15"/>
        <v>4770705.2</v>
      </c>
      <c r="J56" s="161">
        <f t="shared" si="16"/>
        <v>18500000</v>
      </c>
      <c r="K56" s="30"/>
      <c r="L56" s="30"/>
      <c r="N56" s="101">
        <f>B56/TableB1!G13</f>
        <v>0.9988421529883122</v>
      </c>
    </row>
    <row r="57" spans="1:14" ht="18" customHeight="1">
      <c r="A57" s="132">
        <v>1932</v>
      </c>
      <c r="B57" s="29">
        <f t="shared" si="9"/>
        <v>103682.57620000001</v>
      </c>
      <c r="C57" s="30">
        <f t="shared" si="10"/>
        <v>207365.15240000002</v>
      </c>
      <c r="D57" s="30">
        <f t="shared" si="11"/>
        <v>259206.44050000003</v>
      </c>
      <c r="E57" s="30">
        <f t="shared" si="12"/>
        <v>344658.45</v>
      </c>
      <c r="F57" s="30">
        <f t="shared" si="13"/>
        <v>509936.4</v>
      </c>
      <c r="G57" s="30">
        <f t="shared" si="13"/>
        <v>970121.7100000001</v>
      </c>
      <c r="H57" s="30">
        <f t="shared" si="14"/>
        <v>1761075.2200000002</v>
      </c>
      <c r="I57" s="30">
        <f t="shared" si="15"/>
        <v>5909380.9</v>
      </c>
      <c r="J57" s="161">
        <f t="shared" si="16"/>
        <v>26800000</v>
      </c>
      <c r="K57" s="30"/>
      <c r="L57" s="30"/>
      <c r="N57" s="101">
        <f>B57/TableB1!G14</f>
        <v>0.9952784364415954</v>
      </c>
    </row>
    <row r="58" spans="1:14" ht="18" customHeight="1">
      <c r="A58" s="132">
        <v>1937</v>
      </c>
      <c r="B58" s="29">
        <f t="shared" si="9"/>
        <v>92572.88229</v>
      </c>
      <c r="C58" s="30">
        <f t="shared" si="10"/>
        <v>185145.76458</v>
      </c>
      <c r="D58" s="30">
        <f t="shared" si="11"/>
        <v>231379.55124999996</v>
      </c>
      <c r="E58" s="30">
        <f t="shared" si="12"/>
        <v>306523.37666666665</v>
      </c>
      <c r="F58" s="30">
        <f t="shared" si="13"/>
        <v>451208.275</v>
      </c>
      <c r="G58" s="30">
        <f t="shared" si="13"/>
        <v>851105.03</v>
      </c>
      <c r="H58" s="30">
        <f t="shared" si="14"/>
        <v>1529325.1600000001</v>
      </c>
      <c r="I58" s="30">
        <f t="shared" si="15"/>
        <v>4849329.4</v>
      </c>
      <c r="J58" s="161">
        <f t="shared" si="16"/>
        <v>19600000</v>
      </c>
      <c r="K58" s="30"/>
      <c r="L58" s="30"/>
      <c r="N58" s="101">
        <f>B58/TableB1!G15</f>
        <v>0.9959311664786453</v>
      </c>
    </row>
    <row r="59" spans="1:14" ht="18" customHeight="1">
      <c r="A59" s="389"/>
      <c r="B59" s="358" t="s">
        <v>607</v>
      </c>
      <c r="C59" s="350"/>
      <c r="D59" s="350"/>
      <c r="E59" s="350"/>
      <c r="F59" s="351"/>
      <c r="G59" s="351"/>
      <c r="H59" s="351"/>
      <c r="I59" s="351"/>
      <c r="J59" s="362"/>
      <c r="K59" s="30"/>
      <c r="L59" s="30"/>
      <c r="N59" s="101"/>
    </row>
    <row r="60" spans="1:14" ht="18" customHeight="1">
      <c r="A60" s="390"/>
      <c r="B60" s="360"/>
      <c r="C60" s="339"/>
      <c r="D60" s="339"/>
      <c r="E60" s="339"/>
      <c r="F60" s="339"/>
      <c r="G60" s="339"/>
      <c r="H60" s="339"/>
      <c r="I60" s="339"/>
      <c r="J60" s="326"/>
      <c r="K60" s="30"/>
      <c r="L60" s="30"/>
      <c r="N60" s="101"/>
    </row>
    <row r="61" spans="1:14" ht="18" customHeight="1">
      <c r="A61" s="391"/>
      <c r="B61" s="17" t="s">
        <v>50</v>
      </c>
      <c r="C61" s="16" t="s">
        <v>41</v>
      </c>
      <c r="D61" s="16" t="s">
        <v>42</v>
      </c>
      <c r="E61" s="16" t="s">
        <v>43</v>
      </c>
      <c r="F61" s="16" t="s">
        <v>44</v>
      </c>
      <c r="G61" s="16" t="s">
        <v>45</v>
      </c>
      <c r="H61" s="16" t="s">
        <v>46</v>
      </c>
      <c r="I61" s="16" t="s">
        <v>47</v>
      </c>
      <c r="J61" s="182" t="s">
        <v>48</v>
      </c>
      <c r="K61" s="30"/>
      <c r="L61" s="30"/>
      <c r="N61" s="101"/>
    </row>
    <row r="62" spans="1:14" ht="18" customHeight="1">
      <c r="A62" s="132">
        <v>1872</v>
      </c>
      <c r="B62" s="33">
        <v>0</v>
      </c>
      <c r="C62" s="37">
        <v>0</v>
      </c>
      <c r="D62" s="37">
        <v>0</v>
      </c>
      <c r="E62" s="37">
        <v>0.7374181284839042</v>
      </c>
      <c r="F62" s="37">
        <v>10.724767202868886</v>
      </c>
      <c r="G62" s="37">
        <v>61.752633194370596</v>
      </c>
      <c r="H62" s="37">
        <v>305.1678986122432</v>
      </c>
      <c r="I62" s="37">
        <v>1290.682228020385</v>
      </c>
      <c r="J62" s="201">
        <v>6355.517603028171</v>
      </c>
      <c r="K62" s="30"/>
      <c r="L62" s="30"/>
      <c r="N62" s="101"/>
    </row>
    <row r="63" spans="1:14" ht="18" customHeight="1">
      <c r="A63" s="132">
        <v>1882</v>
      </c>
      <c r="B63" s="33">
        <v>0</v>
      </c>
      <c r="C63" s="37">
        <v>0</v>
      </c>
      <c r="D63" s="37">
        <v>0</v>
      </c>
      <c r="E63" s="37">
        <v>0.24118992843252535</v>
      </c>
      <c r="F63" s="37">
        <v>6.788199211678444</v>
      </c>
      <c r="G63" s="37">
        <v>47.41655238772724</v>
      </c>
      <c r="H63" s="37">
        <v>272.915288981276</v>
      </c>
      <c r="I63" s="37">
        <v>1300.2873632596577</v>
      </c>
      <c r="J63" s="201">
        <v>5307.18790517835</v>
      </c>
      <c r="K63" s="30"/>
      <c r="L63" s="30"/>
      <c r="N63" s="101"/>
    </row>
    <row r="64" spans="1:14" ht="18" customHeight="1">
      <c r="A64" s="132">
        <v>1912</v>
      </c>
      <c r="B64" s="33">
        <v>0</v>
      </c>
      <c r="C64" s="37">
        <v>0</v>
      </c>
      <c r="D64" s="37">
        <v>0</v>
      </c>
      <c r="E64" s="37">
        <v>0.5300179299563349</v>
      </c>
      <c r="F64" s="37">
        <v>5.796786954044257</v>
      </c>
      <c r="G64" s="37">
        <v>38.67229231238399</v>
      </c>
      <c r="H64" s="37">
        <v>252.06007490260205</v>
      </c>
      <c r="I64" s="37">
        <v>1480.984350026681</v>
      </c>
      <c r="J64" s="201">
        <v>8775.939103643892</v>
      </c>
      <c r="K64" s="30"/>
      <c r="L64" s="30"/>
      <c r="N64" s="101"/>
    </row>
    <row r="65" spans="1:14" ht="18" customHeight="1">
      <c r="A65" s="132">
        <v>1922</v>
      </c>
      <c r="B65" s="33">
        <v>0</v>
      </c>
      <c r="C65" s="37">
        <v>0</v>
      </c>
      <c r="D65" s="37">
        <v>0.02685119345783066</v>
      </c>
      <c r="E65" s="37">
        <v>0.7381139773373472</v>
      </c>
      <c r="F65" s="37">
        <v>4.171907325754403</v>
      </c>
      <c r="G65" s="37">
        <v>17.775173850610276</v>
      </c>
      <c r="H65" s="37">
        <v>89.64537803345014</v>
      </c>
      <c r="I65" s="37">
        <v>468.17685257870846</v>
      </c>
      <c r="J65" s="201">
        <v>3381.011300952607</v>
      </c>
      <c r="K65" s="30"/>
      <c r="L65" s="30"/>
      <c r="N65" s="101"/>
    </row>
    <row r="66" spans="1:14" ht="18" customHeight="1">
      <c r="A66" s="132">
        <v>1927</v>
      </c>
      <c r="B66" s="33">
        <v>0</v>
      </c>
      <c r="C66" s="37">
        <v>0</v>
      </c>
      <c r="D66" s="37">
        <v>0.00896020948734186</v>
      </c>
      <c r="E66" s="37">
        <v>0.7531464468437241</v>
      </c>
      <c r="F66" s="37">
        <v>3.839876186410002</v>
      </c>
      <c r="G66" s="37">
        <v>16.38144819779373</v>
      </c>
      <c r="H66" s="37">
        <v>84.00800044634782</v>
      </c>
      <c r="I66" s="37">
        <v>459.04691254985386</v>
      </c>
      <c r="J66" s="201">
        <v>2616.878654495862</v>
      </c>
      <c r="K66" s="30"/>
      <c r="L66" s="30"/>
      <c r="N66" s="101"/>
    </row>
    <row r="67" spans="1:14" ht="18" customHeight="1">
      <c r="A67" s="132">
        <v>1932</v>
      </c>
      <c r="B67" s="33">
        <v>0</v>
      </c>
      <c r="C67" s="37">
        <v>0</v>
      </c>
      <c r="D67" s="37">
        <v>0.3911877131146365</v>
      </c>
      <c r="E67" s="37">
        <v>1.935419961600224</v>
      </c>
      <c r="F67" s="37">
        <v>6.827790200876387</v>
      </c>
      <c r="G67" s="37">
        <v>24.588865897584572</v>
      </c>
      <c r="H67" s="37">
        <v>99.36087655740333</v>
      </c>
      <c r="I67" s="37">
        <v>492.44114302972764</v>
      </c>
      <c r="J67" s="201">
        <v>3678.005394122765</v>
      </c>
      <c r="K67" s="30"/>
      <c r="L67" s="30"/>
      <c r="N67" s="101"/>
    </row>
    <row r="68" spans="1:14" ht="18" customHeight="1">
      <c r="A68" s="132">
        <v>1937</v>
      </c>
      <c r="B68" s="33">
        <v>0</v>
      </c>
      <c r="C68" s="37">
        <v>0.024605401509175118</v>
      </c>
      <c r="D68" s="37">
        <v>0.6948828830867974</v>
      </c>
      <c r="E68" s="37">
        <v>2.0039641607847964</v>
      </c>
      <c r="F68" s="37">
        <v>5.994459880409353</v>
      </c>
      <c r="G68" s="37">
        <v>20.197249993346194</v>
      </c>
      <c r="H68" s="37">
        <v>81.69842290490281</v>
      </c>
      <c r="I68" s="37">
        <v>375.05047966675426</v>
      </c>
      <c r="J68" s="201">
        <v>2289.766774713034</v>
      </c>
      <c r="K68" s="30"/>
      <c r="L68" s="30"/>
      <c r="N68" s="101"/>
    </row>
    <row r="69" spans="1:14" ht="18" customHeight="1">
      <c r="A69" s="389"/>
      <c r="B69" s="358" t="s">
        <v>608</v>
      </c>
      <c r="C69" s="350"/>
      <c r="D69" s="350"/>
      <c r="E69" s="350"/>
      <c r="F69" s="351"/>
      <c r="G69" s="351"/>
      <c r="H69" s="351"/>
      <c r="I69" s="351"/>
      <c r="J69" s="362"/>
      <c r="K69" s="30"/>
      <c r="L69" s="30"/>
      <c r="N69" s="101"/>
    </row>
    <row r="70" spans="1:14" ht="18" customHeight="1">
      <c r="A70" s="390"/>
      <c r="B70" s="360"/>
      <c r="C70" s="339"/>
      <c r="D70" s="339"/>
      <c r="E70" s="339"/>
      <c r="F70" s="339"/>
      <c r="G70" s="339"/>
      <c r="H70" s="339"/>
      <c r="I70" s="339"/>
      <c r="J70" s="326"/>
      <c r="K70" s="30"/>
      <c r="L70" s="30"/>
      <c r="N70" s="101"/>
    </row>
    <row r="71" spans="1:14" ht="18" customHeight="1">
      <c r="A71" s="391"/>
      <c r="B71" s="17" t="s">
        <v>223</v>
      </c>
      <c r="C71" s="16" t="s">
        <v>224</v>
      </c>
      <c r="D71" s="16" t="s">
        <v>225</v>
      </c>
      <c r="E71" s="16" t="s">
        <v>226</v>
      </c>
      <c r="F71" s="16" t="s">
        <v>227</v>
      </c>
      <c r="G71" s="16" t="s">
        <v>228</v>
      </c>
      <c r="H71" s="16" t="s">
        <v>229</v>
      </c>
      <c r="I71" s="16" t="s">
        <v>181</v>
      </c>
      <c r="J71" s="182" t="s">
        <v>48</v>
      </c>
      <c r="K71" s="30"/>
      <c r="L71" s="30" t="s">
        <v>616</v>
      </c>
      <c r="N71" s="101"/>
    </row>
    <row r="72" spans="1:14" ht="18" customHeight="1">
      <c r="A72" s="132">
        <v>1872</v>
      </c>
      <c r="B72" s="33">
        <v>34.41222379255518</v>
      </c>
      <c r="C72" s="37">
        <v>68.82444758511036</v>
      </c>
      <c r="D72" s="37">
        <v>86.03055948138795</v>
      </c>
      <c r="E72" s="37">
        <v>114.7074126418506</v>
      </c>
      <c r="F72" s="37">
        <v>171.69240989853392</v>
      </c>
      <c r="G72" s="37">
        <v>332.660052594199</v>
      </c>
      <c r="H72" s="37">
        <v>603.5674719940273</v>
      </c>
      <c r="I72" s="37">
        <v>1797.1657655211636</v>
      </c>
      <c r="J72" s="201">
        <v>6355.517603028171</v>
      </c>
      <c r="K72" s="30"/>
      <c r="L72" s="30">
        <f>0.05*I72</f>
        <v>89.85828827605819</v>
      </c>
      <c r="N72" s="101"/>
    </row>
    <row r="73" spans="1:14" ht="18" customHeight="1">
      <c r="A73" s="132">
        <v>1882</v>
      </c>
      <c r="B73" s="33">
        <v>31.00015226716377</v>
      </c>
      <c r="C73" s="37">
        <v>62.00030453432754</v>
      </c>
      <c r="D73" s="37">
        <v>77.50038066790943</v>
      </c>
      <c r="E73" s="37">
        <v>103.3338408905459</v>
      </c>
      <c r="F73" s="37">
        <v>154.88016637160257</v>
      </c>
      <c r="G73" s="37">
        <v>302.9721335315267</v>
      </c>
      <c r="H73" s="37">
        <v>558.5277146753261</v>
      </c>
      <c r="I73" s="37">
        <v>1700.977417451527</v>
      </c>
      <c r="J73" s="201">
        <v>5307.18790517835</v>
      </c>
      <c r="K73" s="30"/>
      <c r="L73" s="30">
        <f>0.045*I73</f>
        <v>76.5439837853187</v>
      </c>
      <c r="N73" s="101"/>
    </row>
    <row r="74" spans="1:14" ht="18" customHeight="1">
      <c r="A74" s="132">
        <v>1912</v>
      </c>
      <c r="B74" s="33">
        <v>34.75349635400737</v>
      </c>
      <c r="C74" s="37">
        <v>69.50699270801474</v>
      </c>
      <c r="D74" s="37">
        <v>86.88374088501841</v>
      </c>
      <c r="E74" s="37">
        <v>115.84498784669123</v>
      </c>
      <c r="F74" s="37">
        <v>173.5024728050587</v>
      </c>
      <c r="G74" s="37">
        <v>341.20815865607307</v>
      </c>
      <c r="H74" s="37">
        <v>643.7440249997621</v>
      </c>
      <c r="I74" s="37">
        <v>2210.4798253884023</v>
      </c>
      <c r="J74" s="201">
        <v>8775.939103643892</v>
      </c>
      <c r="K74" s="30"/>
      <c r="L74" s="30">
        <f>0.04*I74</f>
        <v>88.4191930155361</v>
      </c>
      <c r="N74" s="101"/>
    </row>
    <row r="75" spans="1:14" ht="18" customHeight="1">
      <c r="A75" s="132">
        <v>1922</v>
      </c>
      <c r="B75" s="33">
        <v>12.562864037684465</v>
      </c>
      <c r="C75" s="37">
        <v>25.12572807536893</v>
      </c>
      <c r="D75" s="37">
        <v>31.40716009421116</v>
      </c>
      <c r="E75" s="37">
        <v>41.86726306112894</v>
      </c>
      <c r="F75" s="37">
        <v>62.431837603024725</v>
      </c>
      <c r="G75" s="37">
        <v>120.69176788029503</v>
      </c>
      <c r="H75" s="37">
        <v>223.6083619099798</v>
      </c>
      <c r="I75" s="37">
        <v>759.4602974160983</v>
      </c>
      <c r="J75" s="201">
        <v>3381.011300952607</v>
      </c>
      <c r="K75" s="30"/>
      <c r="L75" s="30">
        <f>0.04*I75</f>
        <v>30.378411896643936</v>
      </c>
      <c r="N75" s="101"/>
    </row>
    <row r="76" spans="1:14" ht="18" customHeight="1">
      <c r="A76" s="132">
        <v>1927</v>
      </c>
      <c r="B76" s="33">
        <v>11.387891579462254</v>
      </c>
      <c r="C76" s="37">
        <v>22.775783158924508</v>
      </c>
      <c r="D76" s="37">
        <v>28.469728948655632</v>
      </c>
      <c r="E76" s="37">
        <v>37.95665186171173</v>
      </c>
      <c r="F76" s="37">
        <v>56.55840456914573</v>
      </c>
      <c r="G76" s="37">
        <v>109.27693295188146</v>
      </c>
      <c r="H76" s="37">
        <v>202.1724177059692</v>
      </c>
      <c r="I76" s="37">
        <v>674.8300867444547</v>
      </c>
      <c r="J76" s="201">
        <v>2616.878654495862</v>
      </c>
      <c r="K76" s="30"/>
      <c r="L76" s="30">
        <f>0.04*I76</f>
        <v>26.993203469778187</v>
      </c>
      <c r="N76" s="101"/>
    </row>
    <row r="77" spans="1:14" ht="18" customHeight="1">
      <c r="A77" s="132">
        <v>1932</v>
      </c>
      <c r="B77" s="33">
        <v>14.229293826124803</v>
      </c>
      <c r="C77" s="37">
        <v>28.458587652249605</v>
      </c>
      <c r="D77" s="37">
        <v>35.573234565312006</v>
      </c>
      <c r="E77" s="37">
        <v>47.300583516044455</v>
      </c>
      <c r="F77" s="37">
        <v>69.98316529326658</v>
      </c>
      <c r="G77" s="37">
        <v>133.13854038565677</v>
      </c>
      <c r="H77" s="37">
        <v>241.68821487372898</v>
      </c>
      <c r="I77" s="37">
        <v>810.9975681390315</v>
      </c>
      <c r="J77" s="201">
        <v>3678.005394122765</v>
      </c>
      <c r="K77" s="30"/>
      <c r="L77" s="30">
        <f>0.04*I77</f>
        <v>32.43990272556126</v>
      </c>
      <c r="N77" s="101"/>
    </row>
    <row r="78" spans="1:14" ht="18" customHeight="1">
      <c r="A78" s="132">
        <v>1937</v>
      </c>
      <c r="B78" s="33">
        <v>10.814811740156257</v>
      </c>
      <c r="C78" s="37">
        <v>21.629623480312514</v>
      </c>
      <c r="D78" s="37">
        <v>27.030878000013345</v>
      </c>
      <c r="E78" s="37">
        <v>35.80954303898886</v>
      </c>
      <c r="F78" s="37">
        <v>52.71233247809091</v>
      </c>
      <c r="G78" s="37">
        <v>99.43020507577245</v>
      </c>
      <c r="H78" s="37">
        <v>178.6631601581987</v>
      </c>
      <c r="I78" s="37">
        <v>566.5221091713823</v>
      </c>
      <c r="J78" s="201">
        <v>2289.766774713034</v>
      </c>
      <c r="K78" s="30"/>
      <c r="L78" s="30">
        <f>0.04*I78</f>
        <v>22.660884366855296</v>
      </c>
      <c r="N78" s="101"/>
    </row>
    <row r="79" spans="1:12" ht="18" customHeight="1">
      <c r="A79" s="389"/>
      <c r="B79" s="358" t="s">
        <v>606</v>
      </c>
      <c r="C79" s="350"/>
      <c r="D79" s="350"/>
      <c r="E79" s="350"/>
      <c r="F79" s="351"/>
      <c r="G79" s="351"/>
      <c r="H79" s="351"/>
      <c r="I79" s="351"/>
      <c r="J79" s="362"/>
      <c r="K79" s="69"/>
      <c r="L79" s="69"/>
    </row>
    <row r="80" spans="1:12" ht="18" customHeight="1">
      <c r="A80" s="390"/>
      <c r="B80" s="360"/>
      <c r="C80" s="339"/>
      <c r="D80" s="339"/>
      <c r="E80" s="339"/>
      <c r="F80" s="339"/>
      <c r="G80" s="339"/>
      <c r="H80" s="339"/>
      <c r="I80" s="339"/>
      <c r="J80" s="326"/>
      <c r="K80" s="69"/>
      <c r="L80" s="69"/>
    </row>
    <row r="81" spans="1:12" ht="18" customHeight="1">
      <c r="A81" s="391"/>
      <c r="B81" s="17" t="s">
        <v>50</v>
      </c>
      <c r="C81" s="16" t="s">
        <v>41</v>
      </c>
      <c r="D81" s="16" t="s">
        <v>42</v>
      </c>
      <c r="E81" s="16" t="s">
        <v>43</v>
      </c>
      <c r="F81" s="16" t="s">
        <v>44</v>
      </c>
      <c r="G81" s="16" t="s">
        <v>45</v>
      </c>
      <c r="H81" s="16" t="s">
        <v>46</v>
      </c>
      <c r="I81" s="16" t="s">
        <v>47</v>
      </c>
      <c r="J81" s="182" t="s">
        <v>48</v>
      </c>
      <c r="K81" s="64"/>
      <c r="L81" s="64"/>
    </row>
    <row r="82" spans="1:12" ht="1.5" customHeight="1">
      <c r="A82" s="130"/>
      <c r="B82" s="19" t="s">
        <v>231</v>
      </c>
      <c r="C82" s="6" t="s">
        <v>232</v>
      </c>
      <c r="D82" s="6" t="s">
        <v>233</v>
      </c>
      <c r="E82" s="6" t="s">
        <v>234</v>
      </c>
      <c r="F82" s="6" t="s">
        <v>235</v>
      </c>
      <c r="G82" s="6" t="s">
        <v>236</v>
      </c>
      <c r="H82" s="12" t="s">
        <v>237</v>
      </c>
      <c r="I82" s="12" t="s">
        <v>238</v>
      </c>
      <c r="J82" s="131" t="s">
        <v>239</v>
      </c>
      <c r="K82" s="12"/>
      <c r="L82" s="12"/>
    </row>
    <row r="83" spans="1:12" ht="18" customHeight="1">
      <c r="A83" s="132">
        <v>1872</v>
      </c>
      <c r="B83" s="48">
        <v>47.008976</v>
      </c>
      <c r="C83" s="49">
        <v>47.088657</v>
      </c>
      <c r="D83" s="49">
        <v>46.68018</v>
      </c>
      <c r="E83" s="49">
        <v>53.061443</v>
      </c>
      <c r="F83" s="49">
        <v>53.115704</v>
      </c>
      <c r="G83" s="49">
        <v>58.485825</v>
      </c>
      <c r="H83" s="49">
        <v>61.906464</v>
      </c>
      <c r="I83" s="49">
        <v>66.550003</v>
      </c>
      <c r="J83" s="200">
        <v>64.705879</v>
      </c>
      <c r="K83" s="49"/>
      <c r="L83" s="49"/>
    </row>
    <row r="84" spans="1:12" ht="18" customHeight="1">
      <c r="A84" s="132">
        <v>1882</v>
      </c>
      <c r="B84" s="48">
        <v>46.848759</v>
      </c>
      <c r="C84" s="49">
        <v>47.975834</v>
      </c>
      <c r="D84" s="49">
        <v>47.422215</v>
      </c>
      <c r="E84" s="49">
        <v>50.985958</v>
      </c>
      <c r="F84" s="49">
        <v>52.699837</v>
      </c>
      <c r="G84" s="49">
        <v>59.512115</v>
      </c>
      <c r="H84" s="49">
        <v>62.697723</v>
      </c>
      <c r="I84" s="49">
        <v>66.568886</v>
      </c>
      <c r="J84" s="200">
        <v>70.896553</v>
      </c>
      <c r="K84" s="49"/>
      <c r="L84" s="49"/>
    </row>
    <row r="85" spans="1:12" ht="18" customHeight="1">
      <c r="A85" s="132">
        <v>1912</v>
      </c>
      <c r="B85" s="48">
        <v>53.095676</v>
      </c>
      <c r="C85" s="49">
        <v>52.572205</v>
      </c>
      <c r="D85" s="49">
        <v>52.805927</v>
      </c>
      <c r="E85" s="49">
        <v>52.248226</v>
      </c>
      <c r="F85" s="49">
        <v>54.673107</v>
      </c>
      <c r="G85" s="49">
        <v>61.413456</v>
      </c>
      <c r="H85" s="49">
        <v>66.702583</v>
      </c>
      <c r="I85" s="49">
        <v>69.211159</v>
      </c>
      <c r="J85" s="200">
        <v>70.269234</v>
      </c>
      <c r="K85" s="49"/>
      <c r="L85" s="49"/>
    </row>
    <row r="86" spans="1:12" ht="18" customHeight="1">
      <c r="A86" s="132">
        <v>1922</v>
      </c>
      <c r="B86" s="48">
        <v>54.960396</v>
      </c>
      <c r="C86" s="49">
        <v>54.520439</v>
      </c>
      <c r="D86" s="49">
        <v>55.333473</v>
      </c>
      <c r="E86" s="49">
        <v>55.79549</v>
      </c>
      <c r="F86" s="49">
        <v>58.734703</v>
      </c>
      <c r="G86" s="49">
        <v>63.023994</v>
      </c>
      <c r="H86" s="49">
        <v>66.050484</v>
      </c>
      <c r="I86" s="49">
        <v>68.363182</v>
      </c>
      <c r="J86" s="200">
        <v>71.400002</v>
      </c>
      <c r="K86" s="49"/>
      <c r="L86" s="49"/>
    </row>
    <row r="87" spans="1:12" ht="18" customHeight="1">
      <c r="A87" s="132">
        <v>1927</v>
      </c>
      <c r="B87" s="48">
        <v>56.355755</v>
      </c>
      <c r="C87" s="49">
        <v>56.394966</v>
      </c>
      <c r="D87" s="49">
        <v>57.34523</v>
      </c>
      <c r="E87" s="49">
        <v>56.371342</v>
      </c>
      <c r="F87" s="49">
        <v>58.085163</v>
      </c>
      <c r="G87" s="49">
        <v>62.354687</v>
      </c>
      <c r="H87" s="49">
        <v>65.735069</v>
      </c>
      <c r="I87" s="49">
        <v>68.607285</v>
      </c>
      <c r="J87" s="200">
        <v>67.791664</v>
      </c>
      <c r="K87" s="49"/>
      <c r="L87" s="49"/>
    </row>
    <row r="88" spans="1:12" ht="18" customHeight="1">
      <c r="A88" s="132">
        <v>1932</v>
      </c>
      <c r="B88" s="48">
        <v>55.953697</v>
      </c>
      <c r="C88" s="49">
        <v>55.99324</v>
      </c>
      <c r="D88" s="49">
        <v>57.061386</v>
      </c>
      <c r="E88" s="49">
        <v>57.277424</v>
      </c>
      <c r="F88" s="49">
        <v>60.475311</v>
      </c>
      <c r="G88" s="49">
        <v>64.313744</v>
      </c>
      <c r="H88" s="49">
        <v>67.320091</v>
      </c>
      <c r="I88" s="49">
        <v>70.057419</v>
      </c>
      <c r="J88" s="200">
        <v>72.708336</v>
      </c>
      <c r="K88" s="49"/>
      <c r="L88" s="49"/>
    </row>
    <row r="89" spans="1:12" ht="18" customHeight="1" thickBot="1">
      <c r="A89" s="132">
        <v>1937</v>
      </c>
      <c r="B89" s="48">
        <v>57.963997</v>
      </c>
      <c r="C89" s="49">
        <v>57.654343</v>
      </c>
      <c r="D89" s="49">
        <v>59.005432</v>
      </c>
      <c r="E89" s="49">
        <v>58.494469</v>
      </c>
      <c r="F89" s="49">
        <v>62.429043</v>
      </c>
      <c r="G89" s="49">
        <v>66.327797</v>
      </c>
      <c r="H89" s="49">
        <v>68.956573</v>
      </c>
      <c r="I89" s="49">
        <v>70.854164</v>
      </c>
      <c r="J89" s="200">
        <v>70.791664</v>
      </c>
      <c r="K89" s="49"/>
      <c r="L89" s="49"/>
    </row>
    <row r="90" spans="1:10" ht="15.75" thickBot="1" thickTop="1">
      <c r="A90" s="327" t="s">
        <v>456</v>
      </c>
      <c r="B90" s="328"/>
      <c r="C90" s="328"/>
      <c r="D90" s="328"/>
      <c r="E90" s="328"/>
      <c r="F90" s="328"/>
      <c r="G90" s="328"/>
      <c r="H90" s="328"/>
      <c r="I90" s="393"/>
      <c r="J90" s="313"/>
    </row>
    <row r="91" ht="15" thickTop="1"/>
  </sheetData>
  <mergeCells count="19">
    <mergeCell ref="A38:A40"/>
    <mergeCell ref="B38:J39"/>
    <mergeCell ref="B79:J80"/>
    <mergeCell ref="A49:A51"/>
    <mergeCell ref="B49:J50"/>
    <mergeCell ref="A69:A71"/>
    <mergeCell ref="B69:J70"/>
    <mergeCell ref="A59:A61"/>
    <mergeCell ref="B59:J60"/>
    <mergeCell ref="A90:J90"/>
    <mergeCell ref="A15:A17"/>
    <mergeCell ref="B15:J16"/>
    <mergeCell ref="A3:J3"/>
    <mergeCell ref="B4:J4"/>
    <mergeCell ref="A5:A7"/>
    <mergeCell ref="B5:J6"/>
    <mergeCell ref="A79:A81"/>
    <mergeCell ref="A26:A28"/>
    <mergeCell ref="B26:J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3" sqref="A3:K81"/>
    </sheetView>
  </sheetViews>
  <sheetFormatPr defaultColWidth="11.5546875" defaultRowHeight="15"/>
  <cols>
    <col min="1" max="1" width="10.77734375" style="0" customWidth="1"/>
    <col min="2" max="2" width="8.77734375" style="0" customWidth="1"/>
    <col min="3" max="11" width="9.21484375" style="0" customWidth="1"/>
    <col min="12" max="29" width="10.77734375" style="0" customWidth="1"/>
    <col min="30" max="16384" width="8.8867187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Top="1">
      <c r="A3" s="346" t="s">
        <v>277</v>
      </c>
      <c r="B3" s="348"/>
      <c r="C3" s="348"/>
      <c r="D3" s="348"/>
      <c r="E3" s="348"/>
      <c r="F3" s="348"/>
      <c r="G3" s="348"/>
      <c r="H3" s="348"/>
      <c r="I3" s="348"/>
      <c r="J3" s="348"/>
      <c r="K3" s="322"/>
      <c r="L3" s="3"/>
    </row>
    <row r="4" spans="1:11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49"/>
    </row>
    <row r="5" spans="1:12" ht="34.5" customHeight="1">
      <c r="A5" s="389"/>
      <c r="B5" s="350" t="s">
        <v>66</v>
      </c>
      <c r="C5" s="350" t="s">
        <v>117</v>
      </c>
      <c r="D5" s="350" t="s">
        <v>56</v>
      </c>
      <c r="E5" s="350" t="s">
        <v>57</v>
      </c>
      <c r="F5" s="350" t="s">
        <v>58</v>
      </c>
      <c r="G5" s="350" t="s">
        <v>240</v>
      </c>
      <c r="H5" s="350" t="s">
        <v>241</v>
      </c>
      <c r="I5" s="350" t="s">
        <v>57</v>
      </c>
      <c r="J5" s="350" t="s">
        <v>58</v>
      </c>
      <c r="K5" s="394" t="s">
        <v>59</v>
      </c>
      <c r="L5" s="9"/>
    </row>
    <row r="6" spans="1:12" ht="45" customHeight="1">
      <c r="A6" s="390"/>
      <c r="B6" s="339"/>
      <c r="C6" s="339"/>
      <c r="D6" s="339"/>
      <c r="E6" s="339"/>
      <c r="F6" s="339"/>
      <c r="G6" s="339"/>
      <c r="H6" s="339"/>
      <c r="I6" s="339"/>
      <c r="J6" s="339"/>
      <c r="K6" s="326"/>
      <c r="L6" s="9"/>
    </row>
    <row r="7" spans="1:12" ht="18" customHeight="1">
      <c r="A7" s="391"/>
      <c r="B7" s="340"/>
      <c r="C7" s="333" t="s">
        <v>2</v>
      </c>
      <c r="D7" s="333"/>
      <c r="E7" s="333"/>
      <c r="F7" s="333"/>
      <c r="G7" s="333"/>
      <c r="H7" s="333"/>
      <c r="I7" s="333" t="s">
        <v>65</v>
      </c>
      <c r="J7" s="333"/>
      <c r="K7" s="345"/>
      <c r="L7" s="9"/>
    </row>
    <row r="8" spans="1:12" ht="18" customHeight="1">
      <c r="A8" s="389" t="s">
        <v>113</v>
      </c>
      <c r="B8" s="351"/>
      <c r="C8" s="351"/>
      <c r="D8" s="351"/>
      <c r="E8" s="351"/>
      <c r="F8" s="351"/>
      <c r="G8" s="351"/>
      <c r="H8" s="351"/>
      <c r="I8" s="351"/>
      <c r="J8" s="351"/>
      <c r="K8" s="362"/>
      <c r="L8" s="9"/>
    </row>
    <row r="9" spans="1:11" ht="1.5" customHeight="1">
      <c r="A9" s="130"/>
      <c r="B9" s="6" t="s">
        <v>60</v>
      </c>
      <c r="C9" s="6" t="s">
        <v>61</v>
      </c>
      <c r="D9" s="6" t="s">
        <v>62</v>
      </c>
      <c r="E9" s="6" t="s">
        <v>63</v>
      </c>
      <c r="F9" s="6" t="s">
        <v>64</v>
      </c>
      <c r="G9" s="6" t="s">
        <v>457</v>
      </c>
      <c r="H9" s="47"/>
      <c r="I9" s="12"/>
      <c r="J9" s="12"/>
      <c r="K9" s="131"/>
    </row>
    <row r="10" spans="1:11" ht="18" customHeight="1">
      <c r="A10" s="132">
        <v>1872</v>
      </c>
      <c r="B10" s="30">
        <v>6064</v>
      </c>
      <c r="C10" s="30">
        <v>88070.14</v>
      </c>
      <c r="D10" s="30">
        <v>89413.36</v>
      </c>
      <c r="E10" s="30">
        <v>1343.212</v>
      </c>
      <c r="F10" s="30">
        <v>31806.22</v>
      </c>
      <c r="G10" s="30">
        <v>57607.14</v>
      </c>
      <c r="H10" s="47"/>
      <c r="I10" s="22">
        <f aca="true" t="shared" si="0" ref="I10:K11">E10/$D10</f>
        <v>0.015022497756487398</v>
      </c>
      <c r="J10" s="22">
        <f t="shared" si="0"/>
        <v>0.3557211137127606</v>
      </c>
      <c r="K10" s="183">
        <f t="shared" si="0"/>
        <v>0.6442788862872394</v>
      </c>
    </row>
    <row r="11" spans="1:11" ht="18" customHeight="1">
      <c r="A11" s="132">
        <v>1882</v>
      </c>
      <c r="B11" s="30">
        <v>8120</v>
      </c>
      <c r="C11" s="30">
        <v>98563.86</v>
      </c>
      <c r="D11" s="30">
        <v>102174.1</v>
      </c>
      <c r="E11" s="30">
        <v>3610.203</v>
      </c>
      <c r="F11" s="30">
        <v>32861.36</v>
      </c>
      <c r="G11" s="30">
        <v>69312.7</v>
      </c>
      <c r="H11" s="47"/>
      <c r="I11" s="22">
        <f t="shared" si="0"/>
        <v>0.0353338370487237</v>
      </c>
      <c r="J11" s="22">
        <f t="shared" si="0"/>
        <v>0.3216212327781698</v>
      </c>
      <c r="K11" s="183">
        <f t="shared" si="0"/>
        <v>0.6783783757331847</v>
      </c>
    </row>
    <row r="12" spans="1:12" ht="18" customHeight="1">
      <c r="A12" s="132">
        <v>1912</v>
      </c>
      <c r="B12" s="30">
        <v>9747</v>
      </c>
      <c r="C12" s="30">
        <v>133547.2</v>
      </c>
      <c r="D12" s="30">
        <v>139729.7</v>
      </c>
      <c r="E12" s="30">
        <v>6182.486</v>
      </c>
      <c r="F12" s="30">
        <v>44694.16</v>
      </c>
      <c r="G12" s="30">
        <v>95035.55</v>
      </c>
      <c r="H12" s="47"/>
      <c r="I12" s="22">
        <f aca="true" t="shared" si="1" ref="I12:K15">E12/$D12</f>
        <v>0.04424604074867404</v>
      </c>
      <c r="J12" s="22">
        <f t="shared" si="1"/>
        <v>0.31986156128582544</v>
      </c>
      <c r="K12" s="183">
        <f t="shared" si="1"/>
        <v>0.6801385102809209</v>
      </c>
      <c r="L12" s="8"/>
    </row>
    <row r="13" spans="1:12" ht="18" customHeight="1">
      <c r="A13" s="132">
        <v>1922</v>
      </c>
      <c r="B13" s="30">
        <v>9164</v>
      </c>
      <c r="C13" s="30">
        <v>166270.2</v>
      </c>
      <c r="D13" s="30">
        <v>178733.3</v>
      </c>
      <c r="E13" s="30">
        <v>12463.08</v>
      </c>
      <c r="F13" s="30">
        <v>43783.01</v>
      </c>
      <c r="G13" s="30">
        <v>134950.3</v>
      </c>
      <c r="H13" s="47"/>
      <c r="I13" s="22">
        <f t="shared" si="1"/>
        <v>0.06973003911414381</v>
      </c>
      <c r="J13" s="22">
        <f t="shared" si="1"/>
        <v>0.24496280211913507</v>
      </c>
      <c r="K13" s="183">
        <f t="shared" si="1"/>
        <v>0.7550372538301481</v>
      </c>
      <c r="L13" s="8"/>
    </row>
    <row r="14" spans="1:12" ht="18" customHeight="1">
      <c r="A14" s="132">
        <v>1927</v>
      </c>
      <c r="B14" s="30">
        <v>9656</v>
      </c>
      <c r="C14" s="30">
        <v>257834.6</v>
      </c>
      <c r="D14" s="30">
        <v>272548.1</v>
      </c>
      <c r="E14" s="30">
        <v>14713.43</v>
      </c>
      <c r="F14" s="30">
        <v>58165.42</v>
      </c>
      <c r="G14" s="30">
        <v>214382.6</v>
      </c>
      <c r="H14" s="47"/>
      <c r="I14" s="22">
        <f t="shared" si="1"/>
        <v>0.05398470948797662</v>
      </c>
      <c r="J14" s="22">
        <f t="shared" si="1"/>
        <v>0.21341341216467846</v>
      </c>
      <c r="K14" s="183">
        <f t="shared" si="1"/>
        <v>0.7865862943091514</v>
      </c>
      <c r="L14" s="8"/>
    </row>
    <row r="15" spans="1:12" ht="18" customHeight="1">
      <c r="A15" s="132">
        <v>1932</v>
      </c>
      <c r="B15" s="30">
        <v>10120</v>
      </c>
      <c r="C15" s="30">
        <v>273138.8</v>
      </c>
      <c r="D15" s="30">
        <v>288776.1</v>
      </c>
      <c r="E15" s="30">
        <v>15637.28</v>
      </c>
      <c r="F15" s="30">
        <v>72584.8</v>
      </c>
      <c r="G15" s="30">
        <v>216191.3</v>
      </c>
      <c r="H15" s="47"/>
      <c r="I15" s="22">
        <f t="shared" si="1"/>
        <v>0.05415018763671925</v>
      </c>
      <c r="J15" s="22">
        <f t="shared" si="1"/>
        <v>0.2513532110171168</v>
      </c>
      <c r="K15" s="183">
        <f t="shared" si="1"/>
        <v>0.7486467889828833</v>
      </c>
      <c r="L15" s="8"/>
    </row>
    <row r="16" spans="1:12" ht="18" customHeight="1">
      <c r="A16" s="132">
        <v>1937</v>
      </c>
      <c r="B16" s="30">
        <v>10370</v>
      </c>
      <c r="C16" s="30">
        <v>220017.1</v>
      </c>
      <c r="D16" s="30">
        <v>235988.3</v>
      </c>
      <c r="E16" s="30">
        <v>15971.22</v>
      </c>
      <c r="F16" s="30">
        <v>54010.77</v>
      </c>
      <c r="G16" s="30">
        <v>181977.5</v>
      </c>
      <c r="H16" s="47"/>
      <c r="I16" s="22">
        <f>E16/$D16</f>
        <v>0.06767801624063566</v>
      </c>
      <c r="J16" s="22">
        <f>F16/$D16</f>
        <v>0.2288705414632844</v>
      </c>
      <c r="K16" s="183">
        <f>G16/$D16</f>
        <v>0.7711293314117692</v>
      </c>
      <c r="L16" s="8"/>
    </row>
    <row r="17" spans="1:11" ht="4.5" customHeight="1">
      <c r="A17" s="184"/>
      <c r="B17" s="7"/>
      <c r="C17" s="7"/>
      <c r="D17" s="7"/>
      <c r="E17" s="7"/>
      <c r="F17" s="7"/>
      <c r="G17" s="7"/>
      <c r="H17" s="7"/>
      <c r="I17" s="7"/>
      <c r="J17" s="7"/>
      <c r="K17" s="185"/>
    </row>
    <row r="18" spans="1:11" ht="18" customHeight="1">
      <c r="A18" s="389" t="s">
        <v>114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62"/>
    </row>
    <row r="19" spans="1:11" ht="1.5" customHeight="1">
      <c r="A19" s="130"/>
      <c r="B19" s="62" t="s">
        <v>60</v>
      </c>
      <c r="C19" s="62" t="s">
        <v>61</v>
      </c>
      <c r="D19" s="62" t="s">
        <v>62</v>
      </c>
      <c r="E19" s="62" t="s">
        <v>63</v>
      </c>
      <c r="F19" s="62" t="s">
        <v>64</v>
      </c>
      <c r="G19" s="62" t="s">
        <v>457</v>
      </c>
      <c r="H19" s="209" t="s">
        <v>458</v>
      </c>
      <c r="I19" s="12"/>
      <c r="J19" s="12"/>
      <c r="K19" s="131"/>
    </row>
    <row r="20" spans="1:11" ht="15" customHeight="1">
      <c r="A20" s="132">
        <v>1872</v>
      </c>
      <c r="B20" s="210">
        <v>1741</v>
      </c>
      <c r="C20" s="210">
        <v>83131.39</v>
      </c>
      <c r="D20" s="210">
        <v>84698.98</v>
      </c>
      <c r="E20" s="210">
        <v>1567.593</v>
      </c>
      <c r="F20" s="210">
        <v>27378.02</v>
      </c>
      <c r="G20" s="210">
        <v>57320.96</v>
      </c>
      <c r="H20" s="211">
        <v>55080.61</v>
      </c>
      <c r="I20" s="22">
        <f aca="true" t="shared" si="2" ref="I20:K21">E20/$D20</f>
        <v>0.01850781437981898</v>
      </c>
      <c r="J20" s="22">
        <f t="shared" si="2"/>
        <v>0.32323907560634146</v>
      </c>
      <c r="K20" s="183">
        <f t="shared" si="2"/>
        <v>0.6767609243936586</v>
      </c>
    </row>
    <row r="21" spans="1:11" ht="15" customHeight="1">
      <c r="A21" s="132">
        <v>1882</v>
      </c>
      <c r="B21" s="210">
        <v>2638</v>
      </c>
      <c r="C21" s="210">
        <v>97100.98</v>
      </c>
      <c r="D21" s="210">
        <v>101341.3</v>
      </c>
      <c r="E21" s="210">
        <v>4240.318</v>
      </c>
      <c r="F21" s="210">
        <v>33529.82</v>
      </c>
      <c r="G21" s="210">
        <v>67811.47</v>
      </c>
      <c r="H21" s="211">
        <v>65977.06</v>
      </c>
      <c r="I21" s="22">
        <f t="shared" si="2"/>
        <v>0.0418419538727054</v>
      </c>
      <c r="J21" s="22">
        <f t="shared" si="2"/>
        <v>0.33086036985908013</v>
      </c>
      <c r="K21" s="183">
        <f t="shared" si="2"/>
        <v>0.6691395314644671</v>
      </c>
    </row>
    <row r="22" spans="1:11" ht="18" customHeight="1">
      <c r="A22" s="132">
        <v>1912</v>
      </c>
      <c r="B22" s="210">
        <v>3063</v>
      </c>
      <c r="C22" s="210">
        <v>129283.3</v>
      </c>
      <c r="D22" s="210">
        <v>136660.4</v>
      </c>
      <c r="E22" s="210">
        <v>7377.159</v>
      </c>
      <c r="F22" s="210">
        <v>46361.38</v>
      </c>
      <c r="G22" s="210">
        <v>90299.05</v>
      </c>
      <c r="H22" s="211">
        <v>89030.23</v>
      </c>
      <c r="I22" s="22">
        <f aca="true" t="shared" si="3" ref="I22:K25">E22/$D22</f>
        <v>0.05398168745298565</v>
      </c>
      <c r="J22" s="22">
        <f t="shared" si="3"/>
        <v>0.3392451653880714</v>
      </c>
      <c r="K22" s="183">
        <f t="shared" si="3"/>
        <v>0.6607550541341897</v>
      </c>
    </row>
    <row r="23" spans="1:11" ht="18" customHeight="1">
      <c r="A23" s="132">
        <v>1922</v>
      </c>
      <c r="B23" s="210">
        <v>2567</v>
      </c>
      <c r="C23" s="210">
        <v>167458.3</v>
      </c>
      <c r="D23" s="210">
        <v>183574.8</v>
      </c>
      <c r="E23" s="210">
        <v>16116.57</v>
      </c>
      <c r="F23" s="210">
        <v>47413.38</v>
      </c>
      <c r="G23" s="210">
        <v>136161.5</v>
      </c>
      <c r="H23" s="211">
        <v>135053.1</v>
      </c>
      <c r="I23" s="22">
        <f t="shared" si="3"/>
        <v>0.08779293236326555</v>
      </c>
      <c r="J23" s="22">
        <f t="shared" si="3"/>
        <v>0.25827826041482815</v>
      </c>
      <c r="K23" s="183">
        <f t="shared" si="3"/>
        <v>0.7417221753748336</v>
      </c>
    </row>
    <row r="24" spans="1:11" ht="18" customHeight="1">
      <c r="A24" s="132">
        <v>1927</v>
      </c>
      <c r="B24" s="210">
        <v>2504</v>
      </c>
      <c r="C24" s="210">
        <v>255041.3</v>
      </c>
      <c r="D24" s="210">
        <v>271208.9</v>
      </c>
      <c r="E24" s="210">
        <v>16167.69</v>
      </c>
      <c r="F24" s="210">
        <v>61382.21</v>
      </c>
      <c r="G24" s="210">
        <v>209826.7</v>
      </c>
      <c r="H24" s="211">
        <v>207537.4</v>
      </c>
      <c r="I24" s="22">
        <f t="shared" si="3"/>
        <v>0.059613419766091746</v>
      </c>
      <c r="J24" s="22">
        <f t="shared" si="3"/>
        <v>0.22632815516009983</v>
      </c>
      <c r="K24" s="183">
        <f t="shared" si="3"/>
        <v>0.7736718817118464</v>
      </c>
    </row>
    <row r="25" spans="1:11" ht="18" customHeight="1">
      <c r="A25" s="132">
        <v>1932</v>
      </c>
      <c r="B25" s="210">
        <v>2675</v>
      </c>
      <c r="C25" s="210">
        <v>277440.2</v>
      </c>
      <c r="D25" s="210">
        <v>294441.6</v>
      </c>
      <c r="E25" s="210">
        <v>17001.41</v>
      </c>
      <c r="F25" s="210">
        <v>76779.45</v>
      </c>
      <c r="G25" s="210">
        <v>217662.1</v>
      </c>
      <c r="H25" s="211">
        <v>216038.9</v>
      </c>
      <c r="I25" s="22">
        <f t="shared" si="3"/>
        <v>0.05774119553758708</v>
      </c>
      <c r="J25" s="22">
        <f t="shared" si="3"/>
        <v>0.26076291529457796</v>
      </c>
      <c r="K25" s="183">
        <f t="shared" si="3"/>
        <v>0.7392369148924609</v>
      </c>
    </row>
    <row r="26" spans="1:11" ht="18" customHeight="1">
      <c r="A26" s="132">
        <v>1937</v>
      </c>
      <c r="B26" s="210">
        <v>2769</v>
      </c>
      <c r="C26" s="210">
        <v>211189.9</v>
      </c>
      <c r="D26" s="210">
        <v>226970.2</v>
      </c>
      <c r="E26" s="210">
        <v>15780.27</v>
      </c>
      <c r="F26" s="210">
        <v>53994.55</v>
      </c>
      <c r="G26" s="210">
        <v>172975.6</v>
      </c>
      <c r="H26" s="211">
        <v>170217.4</v>
      </c>
      <c r="I26" s="22">
        <f>E26/$D26</f>
        <v>0.06952573509650166</v>
      </c>
      <c r="J26" s="22">
        <f>F26/$D26</f>
        <v>0.2378926837091389</v>
      </c>
      <c r="K26" s="183">
        <f>G26/$D26</f>
        <v>0.7621070959976244</v>
      </c>
    </row>
    <row r="27" spans="1:11" ht="4.5" customHeight="1">
      <c r="A27" s="184"/>
      <c r="B27" s="7"/>
      <c r="C27" s="7"/>
      <c r="D27" s="7"/>
      <c r="E27" s="7"/>
      <c r="F27" s="7"/>
      <c r="G27" s="7"/>
      <c r="H27" s="7"/>
      <c r="I27" s="7"/>
      <c r="J27" s="7"/>
      <c r="K27" s="185"/>
    </row>
    <row r="28" spans="1:11" ht="24.75" customHeight="1">
      <c r="A28" s="389"/>
      <c r="B28" s="350" t="s">
        <v>115</v>
      </c>
      <c r="C28" s="350" t="s">
        <v>116</v>
      </c>
      <c r="D28" s="351"/>
      <c r="E28" s="351"/>
      <c r="F28" s="351"/>
      <c r="G28" s="351"/>
      <c r="H28" s="351"/>
      <c r="I28" s="350"/>
      <c r="J28" s="350"/>
      <c r="K28" s="394"/>
    </row>
    <row r="29" spans="1:11" ht="24.75" customHeight="1">
      <c r="A29" s="391"/>
      <c r="B29" s="340"/>
      <c r="C29" s="340"/>
      <c r="D29" s="340"/>
      <c r="E29" s="340"/>
      <c r="F29" s="340"/>
      <c r="G29" s="340"/>
      <c r="H29" s="340"/>
      <c r="I29" s="340"/>
      <c r="J29" s="340"/>
      <c r="K29" s="395"/>
    </row>
    <row r="30" spans="1:11" ht="15" customHeight="1">
      <c r="A30" s="132">
        <v>1872</v>
      </c>
      <c r="B30" s="208">
        <f aca="true" t="shared" si="4" ref="B30:G36">B20/B10</f>
        <v>0.2871042216358839</v>
      </c>
      <c r="C30" s="208">
        <f t="shared" si="4"/>
        <v>0.9439225371959213</v>
      </c>
      <c r="D30" s="208">
        <f t="shared" si="4"/>
        <v>0.9472743223160386</v>
      </c>
      <c r="E30" s="208">
        <f t="shared" si="4"/>
        <v>1.1670480906960332</v>
      </c>
      <c r="F30" s="208">
        <f t="shared" si="4"/>
        <v>0.8607756596036875</v>
      </c>
      <c r="G30" s="208">
        <f t="shared" si="4"/>
        <v>0.9950322130208165</v>
      </c>
      <c r="H30" s="208">
        <f aca="true" t="shared" si="5" ref="H30:H36">H20/G20</f>
        <v>0.9609156929681568</v>
      </c>
      <c r="I30" s="12"/>
      <c r="J30" s="12"/>
      <c r="K30" s="131"/>
    </row>
    <row r="31" spans="1:11" ht="15" customHeight="1">
      <c r="A31" s="132">
        <v>1882</v>
      </c>
      <c r="B31" s="208">
        <f t="shared" si="4"/>
        <v>0.32487684729064037</v>
      </c>
      <c r="C31" s="208">
        <f t="shared" si="4"/>
        <v>0.9851580488020659</v>
      </c>
      <c r="D31" s="208">
        <f t="shared" si="4"/>
        <v>0.9918492064035798</v>
      </c>
      <c r="E31" s="208">
        <f t="shared" si="4"/>
        <v>1.1745372767126947</v>
      </c>
      <c r="F31" s="208">
        <f t="shared" si="4"/>
        <v>1.0203418239537256</v>
      </c>
      <c r="G31" s="208">
        <f t="shared" si="4"/>
        <v>0.9783411986547921</v>
      </c>
      <c r="H31" s="208">
        <f t="shared" si="5"/>
        <v>0.9729483817413189</v>
      </c>
      <c r="I31" s="12"/>
      <c r="J31" s="12"/>
      <c r="K31" s="131"/>
    </row>
    <row r="32" spans="1:11" ht="15">
      <c r="A32" s="132">
        <v>1912</v>
      </c>
      <c r="B32" s="208">
        <f t="shared" si="4"/>
        <v>0.3142505386272699</v>
      </c>
      <c r="C32" s="208">
        <f t="shared" si="4"/>
        <v>0.9680719625720344</v>
      </c>
      <c r="D32" s="208">
        <f t="shared" si="4"/>
        <v>0.9780340185372185</v>
      </c>
      <c r="E32" s="208">
        <f t="shared" si="4"/>
        <v>1.193235051401653</v>
      </c>
      <c r="F32" s="208">
        <f t="shared" si="4"/>
        <v>1.0373028601499612</v>
      </c>
      <c r="G32" s="208">
        <f t="shared" si="4"/>
        <v>0.9501607556330236</v>
      </c>
      <c r="H32" s="208">
        <f t="shared" si="5"/>
        <v>0.9859486893826679</v>
      </c>
      <c r="I32" s="22"/>
      <c r="J32" s="22"/>
      <c r="K32" s="183"/>
    </row>
    <row r="33" spans="1:11" ht="15">
      <c r="A33" s="132">
        <v>1922</v>
      </c>
      <c r="B33" s="208">
        <f t="shared" si="4"/>
        <v>0.280117852466172</v>
      </c>
      <c r="C33" s="208">
        <f t="shared" si="4"/>
        <v>1.0071455979483994</v>
      </c>
      <c r="D33" s="208">
        <f t="shared" si="4"/>
        <v>1.0270878454098928</v>
      </c>
      <c r="E33" s="208">
        <f t="shared" si="4"/>
        <v>1.2931450331699708</v>
      </c>
      <c r="F33" s="208">
        <f t="shared" si="4"/>
        <v>1.0829173234092402</v>
      </c>
      <c r="G33" s="208">
        <f t="shared" si="4"/>
        <v>1.008975156038927</v>
      </c>
      <c r="H33" s="208">
        <f t="shared" si="5"/>
        <v>0.9918596666458581</v>
      </c>
      <c r="I33" s="22"/>
      <c r="J33" s="22"/>
      <c r="K33" s="183"/>
    </row>
    <row r="34" spans="1:11" ht="15">
      <c r="A34" s="132">
        <v>1927</v>
      </c>
      <c r="B34" s="208">
        <f t="shared" si="4"/>
        <v>0.2593206296603148</v>
      </c>
      <c r="C34" s="208">
        <f t="shared" si="4"/>
        <v>0.9891663104951779</v>
      </c>
      <c r="D34" s="208">
        <f t="shared" si="4"/>
        <v>0.9950863719101327</v>
      </c>
      <c r="E34" s="208">
        <f t="shared" si="4"/>
        <v>1.0988389518963286</v>
      </c>
      <c r="F34" s="208">
        <f t="shared" si="4"/>
        <v>1.055304165258327</v>
      </c>
      <c r="G34" s="208">
        <f t="shared" si="4"/>
        <v>0.97874874173557</v>
      </c>
      <c r="H34" s="208">
        <f t="shared" si="5"/>
        <v>0.9890895677242219</v>
      </c>
      <c r="I34" s="22"/>
      <c r="J34" s="22"/>
      <c r="K34" s="183"/>
    </row>
    <row r="35" spans="1:11" ht="15">
      <c r="A35" s="132">
        <v>1932</v>
      </c>
      <c r="B35" s="208">
        <f t="shared" si="4"/>
        <v>0.2643280632411067</v>
      </c>
      <c r="C35" s="208">
        <f t="shared" si="4"/>
        <v>1.0157480372616414</v>
      </c>
      <c r="D35" s="208">
        <f t="shared" si="4"/>
        <v>1.0196190058664827</v>
      </c>
      <c r="E35" s="208">
        <f t="shared" si="4"/>
        <v>1.0872357596717588</v>
      </c>
      <c r="F35" s="208">
        <f t="shared" si="4"/>
        <v>1.0577896474192943</v>
      </c>
      <c r="G35" s="208">
        <f t="shared" si="4"/>
        <v>1.0068032339876767</v>
      </c>
      <c r="H35" s="208">
        <f t="shared" si="5"/>
        <v>0.9925425694229725</v>
      </c>
      <c r="I35" s="22"/>
      <c r="J35" s="22"/>
      <c r="K35" s="183"/>
    </row>
    <row r="36" spans="1:11" ht="15">
      <c r="A36" s="132">
        <v>1937</v>
      </c>
      <c r="B36" s="208">
        <f t="shared" si="4"/>
        <v>0.2670202507232401</v>
      </c>
      <c r="C36" s="208">
        <f t="shared" si="4"/>
        <v>0.9598794820948008</v>
      </c>
      <c r="D36" s="208">
        <f t="shared" si="4"/>
        <v>0.9617858173477245</v>
      </c>
      <c r="E36" s="208">
        <f t="shared" si="4"/>
        <v>0.9880441193596983</v>
      </c>
      <c r="F36" s="208">
        <f t="shared" si="4"/>
        <v>0.9996996895248856</v>
      </c>
      <c r="G36" s="208">
        <f t="shared" si="4"/>
        <v>0.9505328955502741</v>
      </c>
      <c r="H36" s="208">
        <f t="shared" si="5"/>
        <v>0.9840543984238239</v>
      </c>
      <c r="I36" s="22"/>
      <c r="J36" s="22"/>
      <c r="K36" s="183"/>
    </row>
    <row r="37" spans="1:11" ht="15">
      <c r="A37" s="389"/>
      <c r="B37" s="350" t="s">
        <v>118</v>
      </c>
      <c r="C37" s="350" t="s">
        <v>129</v>
      </c>
      <c r="D37" s="351"/>
      <c r="E37" s="351"/>
      <c r="F37" s="351"/>
      <c r="G37" s="351"/>
      <c r="H37" s="351"/>
      <c r="I37" s="351"/>
      <c r="J37" s="351"/>
      <c r="K37" s="362"/>
    </row>
    <row r="38" spans="1:11" ht="15">
      <c r="A38" s="390"/>
      <c r="B38" s="339"/>
      <c r="C38" s="339"/>
      <c r="D38" s="339"/>
      <c r="E38" s="339"/>
      <c r="F38" s="339"/>
      <c r="G38" s="339"/>
      <c r="H38" s="339"/>
      <c r="I38" s="339"/>
      <c r="J38" s="339"/>
      <c r="K38" s="326"/>
    </row>
    <row r="39" spans="1:11" ht="15">
      <c r="A39" s="204"/>
      <c r="B39" s="340"/>
      <c r="C39" s="17" t="s">
        <v>50</v>
      </c>
      <c r="D39" s="16" t="s">
        <v>41</v>
      </c>
      <c r="E39" s="16" t="s">
        <v>42</v>
      </c>
      <c r="F39" s="16" t="s">
        <v>43</v>
      </c>
      <c r="G39" s="16" t="s">
        <v>44</v>
      </c>
      <c r="H39" s="16" t="s">
        <v>45</v>
      </c>
      <c r="I39" s="16" t="s">
        <v>46</v>
      </c>
      <c r="J39" s="16" t="s">
        <v>47</v>
      </c>
      <c r="K39" s="182" t="s">
        <v>48</v>
      </c>
    </row>
    <row r="40" spans="1:11" ht="1.5" customHeight="1">
      <c r="A40" s="130"/>
      <c r="B40" s="62"/>
      <c r="C40" s="62" t="s">
        <v>212</v>
      </c>
      <c r="D40" s="62" t="s">
        <v>212</v>
      </c>
      <c r="E40" s="73" t="s">
        <v>122</v>
      </c>
      <c r="F40" s="73" t="s">
        <v>123</v>
      </c>
      <c r="G40" s="73" t="s">
        <v>124</v>
      </c>
      <c r="H40" s="212" t="s">
        <v>125</v>
      </c>
      <c r="I40" s="74" t="s">
        <v>126</v>
      </c>
      <c r="J40" s="74" t="s">
        <v>127</v>
      </c>
      <c r="K40" s="213" t="s">
        <v>128</v>
      </c>
    </row>
    <row r="41" spans="1:11" ht="15" customHeight="1">
      <c r="A41" s="132">
        <v>1872</v>
      </c>
      <c r="B41" s="210">
        <f aca="true" t="shared" si="6" ref="B41:B47">SUM(C41:K41)</f>
        <v>6064</v>
      </c>
      <c r="C41" s="210">
        <v>0</v>
      </c>
      <c r="D41" s="210">
        <v>0</v>
      </c>
      <c r="E41" s="210">
        <v>0</v>
      </c>
      <c r="F41" s="210">
        <v>1806</v>
      </c>
      <c r="G41" s="210">
        <v>2129</v>
      </c>
      <c r="H41" s="210">
        <v>1064</v>
      </c>
      <c r="I41" s="210">
        <v>852</v>
      </c>
      <c r="J41" s="30">
        <v>191</v>
      </c>
      <c r="K41" s="161">
        <v>22</v>
      </c>
    </row>
    <row r="42" spans="1:11" ht="15" customHeight="1">
      <c r="A42" s="132">
        <v>1882</v>
      </c>
      <c r="B42" s="210">
        <f>SUM(C42:K42)</f>
        <v>8120</v>
      </c>
      <c r="C42" s="210">
        <v>0</v>
      </c>
      <c r="D42" s="210">
        <v>0</v>
      </c>
      <c r="E42" s="210">
        <v>0</v>
      </c>
      <c r="F42" s="210">
        <v>1775</v>
      </c>
      <c r="G42" s="210">
        <v>3173</v>
      </c>
      <c r="H42" s="210">
        <v>1586</v>
      </c>
      <c r="I42" s="210">
        <v>1268</v>
      </c>
      <c r="J42" s="30">
        <v>286</v>
      </c>
      <c r="K42" s="161">
        <v>32</v>
      </c>
    </row>
    <row r="43" spans="1:11" ht="15">
      <c r="A43" s="132">
        <v>1912</v>
      </c>
      <c r="B43" s="210">
        <f t="shared" si="6"/>
        <v>9747</v>
      </c>
      <c r="C43" s="210">
        <v>0</v>
      </c>
      <c r="D43" s="210">
        <v>0</v>
      </c>
      <c r="E43" s="210">
        <v>0</v>
      </c>
      <c r="F43" s="210">
        <v>2778</v>
      </c>
      <c r="G43" s="210">
        <v>3485</v>
      </c>
      <c r="H43" s="210">
        <v>1742</v>
      </c>
      <c r="I43" s="210">
        <v>1393</v>
      </c>
      <c r="J43" s="30">
        <v>314</v>
      </c>
      <c r="K43" s="161">
        <v>35</v>
      </c>
    </row>
    <row r="44" spans="1:11" ht="15">
      <c r="A44" s="132">
        <v>1922</v>
      </c>
      <c r="B44" s="210">
        <f t="shared" si="6"/>
        <v>9164</v>
      </c>
      <c r="C44" s="210">
        <v>0</v>
      </c>
      <c r="D44" s="210">
        <v>0</v>
      </c>
      <c r="E44" s="210">
        <v>680</v>
      </c>
      <c r="F44" s="210">
        <v>2828</v>
      </c>
      <c r="G44" s="210">
        <v>2828</v>
      </c>
      <c r="H44" s="210">
        <v>1414</v>
      </c>
      <c r="I44" s="210">
        <v>1131</v>
      </c>
      <c r="J44" s="30">
        <v>254</v>
      </c>
      <c r="K44" s="161">
        <v>29</v>
      </c>
    </row>
    <row r="45" spans="1:11" ht="15">
      <c r="A45" s="132">
        <v>1927</v>
      </c>
      <c r="B45" s="210">
        <f t="shared" si="6"/>
        <v>9656</v>
      </c>
      <c r="C45" s="210">
        <v>0</v>
      </c>
      <c r="D45" s="210">
        <v>0</v>
      </c>
      <c r="E45" s="210">
        <v>389</v>
      </c>
      <c r="F45" s="210">
        <v>3089</v>
      </c>
      <c r="G45" s="210">
        <v>3089</v>
      </c>
      <c r="H45" s="210">
        <v>1544</v>
      </c>
      <c r="I45" s="210">
        <v>1236</v>
      </c>
      <c r="J45" s="30">
        <v>278</v>
      </c>
      <c r="K45" s="161">
        <v>31</v>
      </c>
    </row>
    <row r="46" spans="1:11" ht="15">
      <c r="A46" s="132">
        <v>1932</v>
      </c>
      <c r="B46" s="210">
        <f t="shared" si="6"/>
        <v>10120</v>
      </c>
      <c r="C46" s="210">
        <v>0</v>
      </c>
      <c r="D46" s="210">
        <v>0</v>
      </c>
      <c r="E46" s="210">
        <v>2159</v>
      </c>
      <c r="F46" s="210">
        <v>2654</v>
      </c>
      <c r="G46" s="210">
        <v>2653</v>
      </c>
      <c r="H46" s="210">
        <v>1327</v>
      </c>
      <c r="I46" s="210">
        <v>1061</v>
      </c>
      <c r="J46" s="30">
        <v>239</v>
      </c>
      <c r="K46" s="161">
        <v>27</v>
      </c>
    </row>
    <row r="47" spans="1:11" ht="15">
      <c r="A47" s="132">
        <v>1937</v>
      </c>
      <c r="B47" s="210">
        <f t="shared" si="6"/>
        <v>10370</v>
      </c>
      <c r="C47" s="210">
        <v>0</v>
      </c>
      <c r="D47" s="210">
        <v>551</v>
      </c>
      <c r="E47" s="210">
        <v>2455</v>
      </c>
      <c r="F47" s="210">
        <v>2454</v>
      </c>
      <c r="G47" s="210">
        <v>2455</v>
      </c>
      <c r="H47" s="210">
        <v>1227</v>
      </c>
      <c r="I47" s="210">
        <v>982</v>
      </c>
      <c r="J47" s="30">
        <v>221</v>
      </c>
      <c r="K47" s="161">
        <v>25</v>
      </c>
    </row>
    <row r="48" spans="1:11" ht="15">
      <c r="A48" s="389"/>
      <c r="B48" s="350" t="s">
        <v>118</v>
      </c>
      <c r="C48" s="350" t="s">
        <v>243</v>
      </c>
      <c r="D48" s="351"/>
      <c r="E48" s="351"/>
      <c r="F48" s="351"/>
      <c r="G48" s="351"/>
      <c r="H48" s="351"/>
      <c r="I48" s="351"/>
      <c r="J48" s="351"/>
      <c r="K48" s="362"/>
    </row>
    <row r="49" spans="1:11" ht="15">
      <c r="A49" s="390"/>
      <c r="B49" s="339"/>
      <c r="C49" s="339"/>
      <c r="D49" s="339"/>
      <c r="E49" s="339"/>
      <c r="F49" s="339"/>
      <c r="G49" s="339"/>
      <c r="H49" s="339"/>
      <c r="I49" s="339"/>
      <c r="J49" s="339"/>
      <c r="K49" s="326"/>
    </row>
    <row r="50" spans="1:11" ht="15">
      <c r="A50" s="204"/>
      <c r="B50" s="340"/>
      <c r="C50" s="17" t="s">
        <v>50</v>
      </c>
      <c r="D50" s="16" t="s">
        <v>41</v>
      </c>
      <c r="E50" s="16" t="s">
        <v>42</v>
      </c>
      <c r="F50" s="16" t="s">
        <v>43</v>
      </c>
      <c r="G50" s="16" t="s">
        <v>44</v>
      </c>
      <c r="H50" s="16" t="s">
        <v>45</v>
      </c>
      <c r="I50" s="16" t="s">
        <v>46</v>
      </c>
      <c r="J50" s="16" t="s">
        <v>47</v>
      </c>
      <c r="K50" s="182" t="s">
        <v>48</v>
      </c>
    </row>
    <row r="51" spans="1:11" ht="1.5" customHeight="1">
      <c r="A51" s="130"/>
      <c r="B51" s="62"/>
      <c r="C51" s="62"/>
      <c r="D51" s="62" t="s">
        <v>212</v>
      </c>
      <c r="E51" s="73" t="s">
        <v>122</v>
      </c>
      <c r="F51" s="73" t="s">
        <v>123</v>
      </c>
      <c r="G51" s="73" t="s">
        <v>124</v>
      </c>
      <c r="H51" s="212" t="s">
        <v>125</v>
      </c>
      <c r="I51" s="74" t="s">
        <v>126</v>
      </c>
      <c r="J51" s="74" t="s">
        <v>127</v>
      </c>
      <c r="K51" s="213" t="s">
        <v>128</v>
      </c>
    </row>
    <row r="52" spans="1:11" ht="15" customHeight="1">
      <c r="A52" s="132">
        <v>1872</v>
      </c>
      <c r="B52" s="210">
        <f aca="true" t="shared" si="7" ref="B52:B58">SUM(C52:K52)</f>
        <v>1741</v>
      </c>
      <c r="C52" s="210">
        <v>0</v>
      </c>
      <c r="D52" s="210">
        <v>0</v>
      </c>
      <c r="E52" s="210">
        <v>0</v>
      </c>
      <c r="F52" s="210">
        <v>241</v>
      </c>
      <c r="G52" s="210">
        <v>443</v>
      </c>
      <c r="H52" s="210">
        <v>372</v>
      </c>
      <c r="I52" s="30">
        <v>485</v>
      </c>
      <c r="J52" s="30">
        <v>178</v>
      </c>
      <c r="K52" s="161">
        <v>22</v>
      </c>
    </row>
    <row r="53" spans="1:11" ht="15" customHeight="1">
      <c r="A53" s="132">
        <v>1882</v>
      </c>
      <c r="B53" s="210">
        <f>SUM(C53:K53)</f>
        <v>2638</v>
      </c>
      <c r="C53" s="210">
        <v>0</v>
      </c>
      <c r="D53" s="210">
        <v>0</v>
      </c>
      <c r="E53" s="210">
        <v>0</v>
      </c>
      <c r="F53" s="210">
        <v>318</v>
      </c>
      <c r="G53" s="210">
        <v>680</v>
      </c>
      <c r="H53" s="210">
        <v>507</v>
      </c>
      <c r="I53" s="30">
        <v>815</v>
      </c>
      <c r="J53" s="30">
        <v>286</v>
      </c>
      <c r="K53" s="161">
        <v>32</v>
      </c>
    </row>
    <row r="54" spans="1:11" ht="15">
      <c r="A54" s="132">
        <v>1912</v>
      </c>
      <c r="B54" s="210">
        <f t="shared" si="7"/>
        <v>3063</v>
      </c>
      <c r="C54" s="210">
        <v>0</v>
      </c>
      <c r="D54" s="210">
        <v>0</v>
      </c>
      <c r="E54" s="210">
        <v>0</v>
      </c>
      <c r="F54" s="210">
        <v>439</v>
      </c>
      <c r="G54" s="210">
        <v>832</v>
      </c>
      <c r="H54" s="210">
        <v>514</v>
      </c>
      <c r="I54" s="30">
        <v>929</v>
      </c>
      <c r="J54" s="30">
        <v>314</v>
      </c>
      <c r="K54" s="161">
        <v>35</v>
      </c>
    </row>
    <row r="55" spans="1:11" ht="15">
      <c r="A55" s="132">
        <v>1922</v>
      </c>
      <c r="B55" s="210">
        <f t="shared" si="7"/>
        <v>2567</v>
      </c>
      <c r="C55" s="210">
        <v>0</v>
      </c>
      <c r="D55" s="210">
        <v>0</v>
      </c>
      <c r="E55" s="210">
        <v>80</v>
      </c>
      <c r="F55" s="210">
        <v>354</v>
      </c>
      <c r="G55" s="210">
        <v>697</v>
      </c>
      <c r="H55" s="210">
        <v>451</v>
      </c>
      <c r="I55" s="30">
        <v>712</v>
      </c>
      <c r="J55" s="30">
        <v>244</v>
      </c>
      <c r="K55" s="161">
        <v>29</v>
      </c>
    </row>
    <row r="56" spans="1:11" ht="15">
      <c r="A56" s="132">
        <v>1927</v>
      </c>
      <c r="B56" s="210">
        <f t="shared" si="7"/>
        <v>2504</v>
      </c>
      <c r="C56" s="210">
        <v>0</v>
      </c>
      <c r="D56" s="210">
        <v>0</v>
      </c>
      <c r="E56" s="210">
        <v>40</v>
      </c>
      <c r="F56" s="210">
        <v>340</v>
      </c>
      <c r="G56" s="210">
        <v>649</v>
      </c>
      <c r="H56" s="210">
        <v>384</v>
      </c>
      <c r="I56" s="30">
        <v>792</v>
      </c>
      <c r="J56" s="30">
        <v>268</v>
      </c>
      <c r="K56" s="161">
        <v>31</v>
      </c>
    </row>
    <row r="57" spans="1:11" ht="15">
      <c r="A57" s="132">
        <v>1932</v>
      </c>
      <c r="B57" s="210">
        <f t="shared" si="7"/>
        <v>2675</v>
      </c>
      <c r="C57" s="210">
        <v>0</v>
      </c>
      <c r="D57" s="210">
        <v>0</v>
      </c>
      <c r="E57" s="210">
        <v>254</v>
      </c>
      <c r="F57" s="210">
        <v>362</v>
      </c>
      <c r="G57" s="210">
        <v>629</v>
      </c>
      <c r="H57" s="210">
        <v>382</v>
      </c>
      <c r="I57" s="30">
        <v>787</v>
      </c>
      <c r="J57" s="30">
        <v>235</v>
      </c>
      <c r="K57" s="161">
        <v>26</v>
      </c>
    </row>
    <row r="58" spans="1:11" ht="15">
      <c r="A58" s="132">
        <v>1937</v>
      </c>
      <c r="B58" s="210">
        <f t="shared" si="7"/>
        <v>2769</v>
      </c>
      <c r="C58" s="210">
        <v>0</v>
      </c>
      <c r="D58" s="210">
        <v>70</v>
      </c>
      <c r="E58" s="210">
        <v>332</v>
      </c>
      <c r="F58" s="210">
        <v>372</v>
      </c>
      <c r="G58" s="210">
        <v>639</v>
      </c>
      <c r="H58" s="210">
        <v>355</v>
      </c>
      <c r="I58" s="30">
        <v>760</v>
      </c>
      <c r="J58" s="30">
        <v>217</v>
      </c>
      <c r="K58" s="161">
        <v>24</v>
      </c>
    </row>
    <row r="59" spans="1:11" ht="15">
      <c r="A59" s="389"/>
      <c r="B59" s="350" t="s">
        <v>118</v>
      </c>
      <c r="C59" s="350" t="s">
        <v>242</v>
      </c>
      <c r="D59" s="351"/>
      <c r="E59" s="351"/>
      <c r="F59" s="351"/>
      <c r="G59" s="351"/>
      <c r="H59" s="351"/>
      <c r="I59" s="351"/>
      <c r="J59" s="351"/>
      <c r="K59" s="362"/>
    </row>
    <row r="60" spans="1:11" ht="15">
      <c r="A60" s="390"/>
      <c r="B60" s="339"/>
      <c r="C60" s="339"/>
      <c r="D60" s="339"/>
      <c r="E60" s="339"/>
      <c r="F60" s="339"/>
      <c r="G60" s="339"/>
      <c r="H60" s="339"/>
      <c r="I60" s="339"/>
      <c r="J60" s="339"/>
      <c r="K60" s="326"/>
    </row>
    <row r="61" spans="1:11" ht="15">
      <c r="A61" s="204"/>
      <c r="B61" s="340"/>
      <c r="C61" s="17" t="s">
        <v>50</v>
      </c>
      <c r="D61" s="16" t="s">
        <v>41</v>
      </c>
      <c r="E61" s="16" t="s">
        <v>42</v>
      </c>
      <c r="F61" s="16" t="s">
        <v>43</v>
      </c>
      <c r="G61" s="16" t="s">
        <v>44</v>
      </c>
      <c r="H61" s="16" t="s">
        <v>45</v>
      </c>
      <c r="I61" s="16" t="s">
        <v>46</v>
      </c>
      <c r="J61" s="16" t="s">
        <v>47</v>
      </c>
      <c r="K61" s="182" t="s">
        <v>48</v>
      </c>
    </row>
    <row r="62" spans="1:11" ht="1.5" customHeight="1">
      <c r="A62" s="130"/>
      <c r="B62" s="62"/>
      <c r="C62" s="62"/>
      <c r="D62" s="62"/>
      <c r="E62" s="73" t="s">
        <v>122</v>
      </c>
      <c r="F62" s="73" t="s">
        <v>123</v>
      </c>
      <c r="G62" s="73" t="s">
        <v>124</v>
      </c>
      <c r="H62" s="212" t="s">
        <v>125</v>
      </c>
      <c r="I62" s="74" t="s">
        <v>126</v>
      </c>
      <c r="J62" s="74" t="s">
        <v>127</v>
      </c>
      <c r="K62" s="213" t="s">
        <v>128</v>
      </c>
    </row>
    <row r="63" spans="1:11" ht="15" customHeight="1">
      <c r="A63" s="132">
        <v>1872</v>
      </c>
      <c r="B63" s="208">
        <f>B52/B41</f>
        <v>0.2871042216358839</v>
      </c>
      <c r="C63" s="208">
        <v>0</v>
      </c>
      <c r="D63" s="208">
        <v>0</v>
      </c>
      <c r="E63" s="208">
        <v>0</v>
      </c>
      <c r="F63" s="208">
        <f aca="true" t="shared" si="8" ref="F63:K63">F52/F41</f>
        <v>0.13344407530454042</v>
      </c>
      <c r="G63" s="208">
        <f t="shared" si="8"/>
        <v>0.20807891028651948</v>
      </c>
      <c r="H63" s="208">
        <f t="shared" si="8"/>
        <v>0.34962406015037595</v>
      </c>
      <c r="I63" s="208">
        <f t="shared" si="8"/>
        <v>0.5692488262910798</v>
      </c>
      <c r="J63" s="208">
        <f t="shared" si="8"/>
        <v>0.9319371727748691</v>
      </c>
      <c r="K63" s="214">
        <f t="shared" si="8"/>
        <v>1</v>
      </c>
    </row>
    <row r="64" spans="1:11" ht="15" customHeight="1">
      <c r="A64" s="132">
        <v>1882</v>
      </c>
      <c r="B64" s="208">
        <f>B53/B42</f>
        <v>0.32487684729064037</v>
      </c>
      <c r="C64" s="208">
        <v>0</v>
      </c>
      <c r="D64" s="208">
        <v>0</v>
      </c>
      <c r="E64" s="208">
        <v>0</v>
      </c>
      <c r="F64" s="208">
        <f aca="true" t="shared" si="9" ref="F64:K65">F53/F42</f>
        <v>0.1791549295774648</v>
      </c>
      <c r="G64" s="208">
        <f t="shared" si="9"/>
        <v>0.21430822565395524</v>
      </c>
      <c r="H64" s="208">
        <f t="shared" si="9"/>
        <v>0.319672131147541</v>
      </c>
      <c r="I64" s="208">
        <f t="shared" si="9"/>
        <v>0.6427444794952681</v>
      </c>
      <c r="J64" s="208">
        <f t="shared" si="9"/>
        <v>1</v>
      </c>
      <c r="K64" s="214">
        <f t="shared" si="9"/>
        <v>1</v>
      </c>
    </row>
    <row r="65" spans="1:11" ht="15">
      <c r="A65" s="132">
        <v>1912</v>
      </c>
      <c r="B65" s="208">
        <f>B54/B43</f>
        <v>0.3142505386272699</v>
      </c>
      <c r="C65" s="208">
        <v>0</v>
      </c>
      <c r="D65" s="208">
        <v>0</v>
      </c>
      <c r="E65" s="208">
        <v>0</v>
      </c>
      <c r="F65" s="208">
        <f t="shared" si="9"/>
        <v>0.15802735781137509</v>
      </c>
      <c r="G65" s="208">
        <f t="shared" si="9"/>
        <v>0.2387374461979914</v>
      </c>
      <c r="H65" s="208">
        <f t="shared" si="9"/>
        <v>0.29506314580941445</v>
      </c>
      <c r="I65" s="208">
        <f t="shared" si="9"/>
        <v>0.6669059583632448</v>
      </c>
      <c r="J65" s="208">
        <f t="shared" si="9"/>
        <v>1</v>
      </c>
      <c r="K65" s="214">
        <f t="shared" si="9"/>
        <v>1</v>
      </c>
    </row>
    <row r="66" spans="1:11" ht="15">
      <c r="A66" s="132">
        <v>1922</v>
      </c>
      <c r="B66" s="208">
        <f aca="true" t="shared" si="10" ref="B66:K66">B55/B44</f>
        <v>0.280117852466172</v>
      </c>
      <c r="C66" s="208">
        <v>0</v>
      </c>
      <c r="D66" s="208">
        <v>0</v>
      </c>
      <c r="E66" s="208">
        <f t="shared" si="10"/>
        <v>0.11764705882352941</v>
      </c>
      <c r="F66" s="208">
        <f t="shared" si="10"/>
        <v>0.12517680339462517</v>
      </c>
      <c r="G66" s="208">
        <f t="shared" si="10"/>
        <v>0.24646393210749645</v>
      </c>
      <c r="H66" s="208">
        <f t="shared" si="10"/>
        <v>0.318953323903819</v>
      </c>
      <c r="I66" s="208">
        <f t="shared" si="10"/>
        <v>0.6295313881520778</v>
      </c>
      <c r="J66" s="208">
        <f t="shared" si="10"/>
        <v>0.9606299212598425</v>
      </c>
      <c r="K66" s="214">
        <f t="shared" si="10"/>
        <v>1</v>
      </c>
    </row>
    <row r="67" spans="1:11" ht="15">
      <c r="A67" s="132">
        <v>1927</v>
      </c>
      <c r="B67" s="208">
        <f aca="true" t="shared" si="11" ref="B67:K67">B56/B45</f>
        <v>0.2593206296603148</v>
      </c>
      <c r="C67" s="208">
        <v>0</v>
      </c>
      <c r="D67" s="208">
        <v>0</v>
      </c>
      <c r="E67" s="208">
        <f t="shared" si="11"/>
        <v>0.10282776349614396</v>
      </c>
      <c r="F67" s="208">
        <f t="shared" si="11"/>
        <v>0.11006798316607316</v>
      </c>
      <c r="G67" s="208">
        <f t="shared" si="11"/>
        <v>0.2101003561022985</v>
      </c>
      <c r="H67" s="208">
        <f t="shared" si="11"/>
        <v>0.24870466321243523</v>
      </c>
      <c r="I67" s="208">
        <f t="shared" si="11"/>
        <v>0.6407766990291263</v>
      </c>
      <c r="J67" s="208">
        <f t="shared" si="11"/>
        <v>0.9640287769784173</v>
      </c>
      <c r="K67" s="214">
        <f t="shared" si="11"/>
        <v>1</v>
      </c>
    </row>
    <row r="68" spans="1:11" ht="15">
      <c r="A68" s="132">
        <v>1932</v>
      </c>
      <c r="B68" s="208">
        <f>B57/B46</f>
        <v>0.2643280632411067</v>
      </c>
      <c r="C68" s="208">
        <v>0</v>
      </c>
      <c r="D68" s="208">
        <v>0</v>
      </c>
      <c r="E68" s="208">
        <f aca="true" t="shared" si="12" ref="E68:K69">E57/E46</f>
        <v>0.11764705882352941</v>
      </c>
      <c r="F68" s="208">
        <f t="shared" si="12"/>
        <v>0.1363978899773926</v>
      </c>
      <c r="G68" s="208">
        <f t="shared" si="12"/>
        <v>0.23709008669430834</v>
      </c>
      <c r="H68" s="208">
        <f t="shared" si="12"/>
        <v>0.2878673700075358</v>
      </c>
      <c r="I68" s="208">
        <f t="shared" si="12"/>
        <v>0.7417530631479736</v>
      </c>
      <c r="J68" s="208">
        <f t="shared" si="12"/>
        <v>0.9832635983263598</v>
      </c>
      <c r="K68" s="214">
        <f t="shared" si="12"/>
        <v>0.9629629629629629</v>
      </c>
    </row>
    <row r="69" spans="1:11" ht="15">
      <c r="A69" s="132">
        <v>1937</v>
      </c>
      <c r="B69" s="208">
        <f>B58/B47</f>
        <v>0.2670202507232401</v>
      </c>
      <c r="C69" s="208">
        <v>0</v>
      </c>
      <c r="D69" s="208">
        <f>D58/D47</f>
        <v>0.12704174228675136</v>
      </c>
      <c r="E69" s="208">
        <f t="shared" si="12"/>
        <v>0.13523421588594706</v>
      </c>
      <c r="F69" s="208">
        <f t="shared" si="12"/>
        <v>0.15158924205378974</v>
      </c>
      <c r="G69" s="208">
        <f t="shared" si="12"/>
        <v>0.2602851323828921</v>
      </c>
      <c r="H69" s="208">
        <f t="shared" si="12"/>
        <v>0.2893235533822331</v>
      </c>
      <c r="I69" s="208">
        <f t="shared" si="12"/>
        <v>0.7739307535641547</v>
      </c>
      <c r="J69" s="208">
        <f t="shared" si="12"/>
        <v>0.9819004524886877</v>
      </c>
      <c r="K69" s="214">
        <f t="shared" si="12"/>
        <v>0.96</v>
      </c>
    </row>
    <row r="70" spans="1:11" ht="15">
      <c r="A70" s="389"/>
      <c r="B70" s="350" t="s">
        <v>118</v>
      </c>
      <c r="C70" s="350" t="s">
        <v>130</v>
      </c>
      <c r="D70" s="351"/>
      <c r="E70" s="351"/>
      <c r="F70" s="351"/>
      <c r="G70" s="351"/>
      <c r="H70" s="351"/>
      <c r="I70" s="351"/>
      <c r="J70" s="351"/>
      <c r="K70" s="362"/>
    </row>
    <row r="71" spans="1:11" ht="15">
      <c r="A71" s="390"/>
      <c r="B71" s="339"/>
      <c r="C71" s="339"/>
      <c r="D71" s="339"/>
      <c r="E71" s="339"/>
      <c r="F71" s="339"/>
      <c r="G71" s="339"/>
      <c r="H71" s="339"/>
      <c r="I71" s="339"/>
      <c r="J71" s="339"/>
      <c r="K71" s="326"/>
    </row>
    <row r="72" spans="1:11" ht="15">
      <c r="A72" s="204"/>
      <c r="B72" s="340"/>
      <c r="C72" s="17" t="s">
        <v>50</v>
      </c>
      <c r="D72" s="16" t="s">
        <v>41</v>
      </c>
      <c r="E72" s="16" t="s">
        <v>42</v>
      </c>
      <c r="F72" s="16" t="s">
        <v>43</v>
      </c>
      <c r="G72" s="16" t="s">
        <v>44</v>
      </c>
      <c r="H72" s="16" t="s">
        <v>45</v>
      </c>
      <c r="I72" s="16" t="s">
        <v>46</v>
      </c>
      <c r="J72" s="16" t="s">
        <v>47</v>
      </c>
      <c r="K72" s="182" t="s">
        <v>48</v>
      </c>
    </row>
    <row r="73" spans="1:11" ht="1.5" customHeight="1">
      <c r="A73" s="130"/>
      <c r="B73" s="62" t="s">
        <v>138</v>
      </c>
      <c r="C73" s="62"/>
      <c r="D73" s="62" t="s">
        <v>244</v>
      </c>
      <c r="E73" s="75" t="s">
        <v>131</v>
      </c>
      <c r="F73" s="75" t="s">
        <v>132</v>
      </c>
      <c r="G73" s="75" t="s">
        <v>133</v>
      </c>
      <c r="H73" s="215" t="s">
        <v>134</v>
      </c>
      <c r="I73" s="66" t="s">
        <v>135</v>
      </c>
      <c r="J73" s="66" t="s">
        <v>136</v>
      </c>
      <c r="K73" s="216" t="s">
        <v>137</v>
      </c>
    </row>
    <row r="74" spans="1:11" ht="15" customHeight="1">
      <c r="A74" s="132">
        <v>1872</v>
      </c>
      <c r="B74" s="208">
        <v>0.3023582</v>
      </c>
      <c r="C74" s="208">
        <v>0</v>
      </c>
      <c r="D74" s="208">
        <v>0</v>
      </c>
      <c r="E74" s="208">
        <v>0</v>
      </c>
      <c r="F74" s="208">
        <v>0.125</v>
      </c>
      <c r="G74" s="208">
        <v>0.2078441</v>
      </c>
      <c r="H74" s="208">
        <v>0.3794643</v>
      </c>
      <c r="I74" s="208">
        <v>0.6437793</v>
      </c>
      <c r="J74" s="208">
        <v>1</v>
      </c>
      <c r="K74" s="214">
        <v>1</v>
      </c>
    </row>
    <row r="75" spans="1:11" ht="15" customHeight="1">
      <c r="A75" s="132">
        <v>1882</v>
      </c>
      <c r="B75" s="208">
        <v>0.3428523</v>
      </c>
      <c r="C75" s="208">
        <v>0</v>
      </c>
      <c r="D75" s="208">
        <v>0</v>
      </c>
      <c r="E75" s="208">
        <v>0</v>
      </c>
      <c r="F75" s="208">
        <v>0.2</v>
      </c>
      <c r="G75" s="208">
        <v>0.2032796</v>
      </c>
      <c r="H75" s="208">
        <v>0.3256334</v>
      </c>
      <c r="I75" s="208">
        <v>0.748817</v>
      </c>
      <c r="J75" s="208">
        <v>1</v>
      </c>
      <c r="K75" s="214">
        <v>1</v>
      </c>
    </row>
    <row r="76" spans="1:11" ht="15">
      <c r="A76" s="132">
        <v>1912</v>
      </c>
      <c r="B76" s="208">
        <v>0.2996477</v>
      </c>
      <c r="C76" s="208">
        <v>0</v>
      </c>
      <c r="D76" s="208">
        <v>0</v>
      </c>
      <c r="E76" s="208">
        <v>0</v>
      </c>
      <c r="F76" s="208">
        <v>0.1666667</v>
      </c>
      <c r="G76" s="208">
        <v>0.2172645</v>
      </c>
      <c r="H76" s="208">
        <v>0.2620551</v>
      </c>
      <c r="I76" s="208">
        <v>0.6424982</v>
      </c>
      <c r="J76" s="208">
        <v>1</v>
      </c>
      <c r="K76" s="214">
        <v>1</v>
      </c>
    </row>
    <row r="77" spans="1:11" ht="15">
      <c r="A77" s="132">
        <v>1922</v>
      </c>
      <c r="B77" s="208">
        <v>0.25933</v>
      </c>
      <c r="C77" s="208">
        <v>0</v>
      </c>
      <c r="D77" s="208">
        <v>0</v>
      </c>
      <c r="E77" s="208">
        <v>0.125</v>
      </c>
      <c r="F77" s="208">
        <v>0.125</v>
      </c>
      <c r="G77" s="208">
        <v>0.2407178</v>
      </c>
      <c r="H77" s="208">
        <v>0.25</v>
      </c>
      <c r="I77" s="208">
        <v>0.5488506</v>
      </c>
      <c r="J77" s="208">
        <v>1</v>
      </c>
      <c r="K77" s="214">
        <v>1</v>
      </c>
    </row>
    <row r="78" spans="1:11" ht="15">
      <c r="A78" s="132">
        <v>1927</v>
      </c>
      <c r="B78" s="208">
        <v>0.2676963</v>
      </c>
      <c r="C78" s="208">
        <v>0</v>
      </c>
      <c r="D78" s="208">
        <v>0</v>
      </c>
      <c r="E78" s="208">
        <v>0.125</v>
      </c>
      <c r="F78" s="208">
        <v>0.125</v>
      </c>
      <c r="G78" s="208">
        <v>0.1989722</v>
      </c>
      <c r="H78" s="208">
        <v>0.25</v>
      </c>
      <c r="I78" s="208">
        <v>0.6800162</v>
      </c>
      <c r="J78" s="208">
        <v>1</v>
      </c>
      <c r="K78" s="214">
        <v>1</v>
      </c>
    </row>
    <row r="79" spans="1:11" ht="15">
      <c r="A79" s="132">
        <v>1932</v>
      </c>
      <c r="B79" s="208">
        <v>0.2736907</v>
      </c>
      <c r="C79" s="208">
        <v>0</v>
      </c>
      <c r="D79" s="208">
        <v>0</v>
      </c>
      <c r="E79" s="208">
        <v>0.125</v>
      </c>
      <c r="F79" s="208">
        <v>0.1397419</v>
      </c>
      <c r="G79" s="208">
        <v>0.25</v>
      </c>
      <c r="H79" s="208">
        <v>0.2865486</v>
      </c>
      <c r="I79" s="208">
        <v>0.7723845</v>
      </c>
      <c r="J79" s="208">
        <v>1</v>
      </c>
      <c r="K79" s="214">
        <v>1</v>
      </c>
    </row>
    <row r="80" spans="1:11" ht="15" thickBot="1">
      <c r="A80" s="132">
        <v>1937</v>
      </c>
      <c r="B80" s="208">
        <v>0.2620058</v>
      </c>
      <c r="C80" s="208">
        <v>0</v>
      </c>
      <c r="D80" s="208">
        <v>0.125</v>
      </c>
      <c r="E80" s="208">
        <v>0.125</v>
      </c>
      <c r="F80" s="208">
        <v>0.1578036</v>
      </c>
      <c r="G80" s="208">
        <v>0.25</v>
      </c>
      <c r="H80" s="208">
        <v>0.2768949</v>
      </c>
      <c r="I80" s="208">
        <v>0.7683299</v>
      </c>
      <c r="J80" s="208">
        <v>1</v>
      </c>
      <c r="K80" s="214">
        <v>1</v>
      </c>
    </row>
    <row r="81" spans="1:11" ht="15.75" thickBot="1" thickTop="1">
      <c r="A81" s="327" t="s">
        <v>459</v>
      </c>
      <c r="B81" s="328"/>
      <c r="C81" s="328"/>
      <c r="D81" s="328"/>
      <c r="E81" s="328"/>
      <c r="F81" s="328"/>
      <c r="G81" s="328"/>
      <c r="H81" s="328"/>
      <c r="I81" s="393"/>
      <c r="J81" s="393"/>
      <c r="K81" s="313"/>
    </row>
    <row r="82" ht="15" thickTop="1"/>
  </sheetData>
  <mergeCells count="36">
    <mergeCell ref="I28:I29"/>
    <mergeCell ref="J28:J29"/>
    <mergeCell ref="K28:K29"/>
    <mergeCell ref="A59:A60"/>
    <mergeCell ref="B59:B61"/>
    <mergeCell ref="C59:K60"/>
    <mergeCell ref="B37:B39"/>
    <mergeCell ref="C37:K38"/>
    <mergeCell ref="A48:A49"/>
    <mergeCell ref="B48:B50"/>
    <mergeCell ref="C48:K49"/>
    <mergeCell ref="A3:K3"/>
    <mergeCell ref="B4:K4"/>
    <mergeCell ref="C5:C6"/>
    <mergeCell ref="I5:I6"/>
    <mergeCell ref="J5:J6"/>
    <mergeCell ref="K5:K6"/>
    <mergeCell ref="A5:A7"/>
    <mergeCell ref="C7:H7"/>
    <mergeCell ref="B5:B7"/>
    <mergeCell ref="D5:D6"/>
    <mergeCell ref="H5:H6"/>
    <mergeCell ref="I7:K7"/>
    <mergeCell ref="E5:E6"/>
    <mergeCell ref="F5:F6"/>
    <mergeCell ref="G5:G6"/>
    <mergeCell ref="A81:K81"/>
    <mergeCell ref="A8:K8"/>
    <mergeCell ref="A18:K18"/>
    <mergeCell ref="C28:H29"/>
    <mergeCell ref="A28:A29"/>
    <mergeCell ref="B28:B29"/>
    <mergeCell ref="A70:A71"/>
    <mergeCell ref="B70:B72"/>
    <mergeCell ref="C70:K71"/>
    <mergeCell ref="A37:A3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2011-04-29T09:53:52Z</cp:lastPrinted>
  <dcterms:created xsi:type="dcterms:W3CDTF">2009-12-02T10:31:07Z</dcterms:created>
  <dcterms:modified xsi:type="dcterms:W3CDTF">2013-03-18T13:19:23Z</dcterms:modified>
  <cp:category/>
  <cp:version/>
  <cp:contentType/>
  <cp:contentStatus/>
</cp:coreProperties>
</file>