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9332" windowHeight="8736" activeTab="0"/>
  </bookViews>
  <sheets>
    <sheet name="G10.1" sheetId="1" r:id="rId1"/>
    <sheet name="G10.2" sheetId="2" r:id="rId2"/>
    <sheet name="G10.3" sheetId="3" r:id="rId3"/>
    <sheet name="G10.4" sheetId="4" r:id="rId4"/>
    <sheet name="G10.5" sheetId="5" r:id="rId5"/>
    <sheet name="G10.6" sheetId="6" r:id="rId6"/>
    <sheet name="G10.7" sheetId="7" r:id="rId7"/>
    <sheet name="G10.8" sheetId="8" r:id="rId8"/>
    <sheet name="G10.9" sheetId="9" r:id="rId9"/>
    <sheet name="G10.10" sheetId="10" r:id="rId10"/>
    <sheet name="G10.11" sheetId="11" r:id="rId11"/>
    <sheet name="T10.1" sheetId="12" r:id="rId12"/>
    <sheet name="TS10.1" sheetId="13" r:id="rId13"/>
    <sheet name="TS10.2" sheetId="14" r:id="rId14"/>
    <sheet name="TS10.3" sheetId="15" r:id="rId15"/>
    <sheet name="TS10.4" sheetId="16" r:id="rId16"/>
    <sheet name="TS10.1DetailsFR" sheetId="17" r:id="rId17"/>
    <sheet name="TS10.1DetailsUS" sheetId="18" r:id="rId18"/>
    <sheet name="DetailsTS10.4(1)" sheetId="19" r:id="rId19"/>
    <sheet name="DetailsTS10.4(2)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uthor" hidden="1">"Ken Oliver"</definedName>
    <definedName name="column_head">#REF!</definedName>
    <definedName name="column_headings" localSheetId="18">#REF!</definedName>
    <definedName name="column_headings" localSheetId="19">#REF!</definedName>
    <definedName name="column_headings" localSheetId="11">#REF!</definedName>
    <definedName name="column_headings" localSheetId="12">#REF!</definedName>
    <definedName name="column_headings" localSheetId="16">#REF!</definedName>
    <definedName name="column_headings" localSheetId="17">#REF!</definedName>
    <definedName name="column_headings" localSheetId="13">#REF!</definedName>
    <definedName name="column_headings" localSheetId="15">#REF!</definedName>
    <definedName name="column_headings">#REF!</definedName>
    <definedName name="column_numbers" localSheetId="18">#REF!</definedName>
    <definedName name="column_numbers" localSheetId="19">#REF!</definedName>
    <definedName name="column_numbers" localSheetId="11">#REF!</definedName>
    <definedName name="column_numbers" localSheetId="12">#REF!</definedName>
    <definedName name="column_numbers" localSheetId="16">#REF!</definedName>
    <definedName name="column_numbers" localSheetId="17">#REF!</definedName>
    <definedName name="column_numbers" localSheetId="13">#REF!</definedName>
    <definedName name="column_numbers" localSheetId="15">#REF!</definedName>
    <definedName name="column_numbers">#REF!</definedName>
    <definedName name="data" localSheetId="18">#REF!</definedName>
    <definedName name="data" localSheetId="19">#REF!</definedName>
    <definedName name="data" localSheetId="11">#REF!</definedName>
    <definedName name="data" localSheetId="12">#REF!</definedName>
    <definedName name="data" localSheetId="16">#REF!</definedName>
    <definedName name="data" localSheetId="17">#REF!</definedName>
    <definedName name="data" localSheetId="13">#REF!</definedName>
    <definedName name="data" localSheetId="15">#REF!</definedName>
    <definedName name="data">#REF!</definedName>
    <definedName name="data2" localSheetId="18">#REF!</definedName>
    <definedName name="data2" localSheetId="19">#REF!</definedName>
    <definedName name="data2" localSheetId="11">#REF!</definedName>
    <definedName name="data2" localSheetId="12">#REF!</definedName>
    <definedName name="data2" localSheetId="16">#REF!</definedName>
    <definedName name="data2" localSheetId="17">#REF!</definedName>
    <definedName name="data2" localSheetId="13">#REF!</definedName>
    <definedName name="data2" localSheetId="15">#REF!</definedName>
    <definedName name="data2">#REF!</definedName>
    <definedName name="Diag">#REF!,#REF!</definedName>
    <definedName name="ea_flux" localSheetId="18">#REF!</definedName>
    <definedName name="ea_flux" localSheetId="19">#REF!</definedName>
    <definedName name="ea_flux" localSheetId="11">#REF!</definedName>
    <definedName name="ea_flux" localSheetId="12">#REF!</definedName>
    <definedName name="ea_flux" localSheetId="16">#REF!</definedName>
    <definedName name="ea_flux" localSheetId="17">#REF!</definedName>
    <definedName name="ea_flux" localSheetId="13">#REF!</definedName>
    <definedName name="ea_flux" localSheetId="15">#REF!</definedName>
    <definedName name="ea_flux">#REF!</definedName>
    <definedName name="Equilibre" localSheetId="18">#REF!</definedName>
    <definedName name="Equilibre" localSheetId="19">#REF!</definedName>
    <definedName name="Equilibre" localSheetId="11">#REF!</definedName>
    <definedName name="Equilibre" localSheetId="12">#REF!</definedName>
    <definedName name="Equilibre" localSheetId="16">#REF!</definedName>
    <definedName name="Equilibre" localSheetId="17">#REF!</definedName>
    <definedName name="Equilibre" localSheetId="13">#REF!</definedName>
    <definedName name="Equilibre" localSheetId="15">#REF!</definedName>
    <definedName name="Equilibre">#REF!</definedName>
    <definedName name="females" localSheetId="13">'[14]rba table'!$I$10:$I$49</definedName>
    <definedName name="females">'[5]rba table'!$I$10:$I$49</definedName>
    <definedName name="fig4b">#REF!</definedName>
    <definedName name="fmtr" localSheetId="15">#REF!</definedName>
    <definedName name="fmtr">#REF!</definedName>
    <definedName name="footno" localSheetId="15">#REF!</definedName>
    <definedName name="footno">#REF!</definedName>
    <definedName name="footnotes" localSheetId="18">#REF!</definedName>
    <definedName name="footnotes" localSheetId="19">#REF!</definedName>
    <definedName name="footnotes" localSheetId="11">#REF!</definedName>
    <definedName name="footnotes" localSheetId="12">#REF!</definedName>
    <definedName name="footnotes" localSheetId="16">#REF!</definedName>
    <definedName name="footnotes" localSheetId="17">#REF!</definedName>
    <definedName name="footnotes" localSheetId="13">#REF!</definedName>
    <definedName name="footnotes" localSheetId="15">#REF!</definedName>
    <definedName name="footnotes">#REF!</definedName>
    <definedName name="footnotes2" localSheetId="15">#REF!</definedName>
    <definedName name="footnotes2">#REF!</definedName>
    <definedName name="GEOG9703">#REF!</definedName>
    <definedName name="HTML_CodePage" hidden="1">1252</definedName>
    <definedName name="HTML_Control" localSheetId="19" hidden="1">{"'swa xoffs'!$A$4:$Q$37"}</definedName>
    <definedName name="HTML_Control" localSheetId="11" hidden="1">{"'swa xoffs'!$A$4:$Q$37"}</definedName>
    <definedName name="HTML_Control" localSheetId="12" hidden="1">{"'swa xoffs'!$A$4:$Q$37"}</definedName>
    <definedName name="HTML_Control" localSheetId="16" hidden="1">{"'swa xoffs'!$A$4:$Q$37"}</definedName>
    <definedName name="HTML_Control" localSheetId="17" hidden="1">{"'swa xoffs'!$A$4:$Q$37"}</definedName>
    <definedName name="HTML_Control" localSheetId="13" hidden="1">{"'swa xoffs'!$A$4:$Q$37"}</definedName>
    <definedName name="HTML_Control" localSheetId="1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13">'[14]rba table'!$C$10:$C$49</definedName>
    <definedName name="males">'[5]rba table'!$C$10:$C$49</definedName>
    <definedName name="PIB" localSheetId="18">#REF!</definedName>
    <definedName name="PIB" localSheetId="19">#REF!</definedName>
    <definedName name="PIB" localSheetId="11">#REF!</definedName>
    <definedName name="PIB" localSheetId="12">#REF!</definedName>
    <definedName name="PIB" localSheetId="16">#REF!</definedName>
    <definedName name="PIB" localSheetId="17">#REF!</definedName>
    <definedName name="PIB" localSheetId="13">#REF!</definedName>
    <definedName name="PIB" localSheetId="15">#REF!</definedName>
    <definedName name="PIB">#REF!</definedName>
    <definedName name="Rentflag">IF('[6]Comparison'!$B$7,"","not ")</definedName>
    <definedName name="ressources" localSheetId="18">#REF!</definedName>
    <definedName name="ressources" localSheetId="19">#REF!</definedName>
    <definedName name="ressources" localSheetId="11">#REF!</definedName>
    <definedName name="ressources" localSheetId="12">#REF!</definedName>
    <definedName name="ressources" localSheetId="16">#REF!</definedName>
    <definedName name="ressources" localSheetId="17">#REF!</definedName>
    <definedName name="ressources" localSheetId="13">#REF!</definedName>
    <definedName name="ressources" localSheetId="15">#REF!</definedName>
    <definedName name="ressources">#REF!</definedName>
    <definedName name="rpflux" localSheetId="18">#REF!</definedName>
    <definedName name="rpflux" localSheetId="19">#REF!</definedName>
    <definedName name="rpflux" localSheetId="11">#REF!</definedName>
    <definedName name="rpflux" localSheetId="12">#REF!</definedName>
    <definedName name="rpflux" localSheetId="16">#REF!</definedName>
    <definedName name="rpflux" localSheetId="17">#REF!</definedName>
    <definedName name="rpflux" localSheetId="13">#REF!</definedName>
    <definedName name="rpflux" localSheetId="15">#REF!</definedName>
    <definedName name="rpflux">#REF!</definedName>
    <definedName name="rptof" localSheetId="18">#REF!</definedName>
    <definedName name="rptof" localSheetId="19">#REF!</definedName>
    <definedName name="rptof" localSheetId="11">#REF!</definedName>
    <definedName name="rptof" localSheetId="12">#REF!</definedName>
    <definedName name="rptof" localSheetId="16">#REF!</definedName>
    <definedName name="rptof" localSheetId="17">#REF!</definedName>
    <definedName name="rptof" localSheetId="13">#REF!</definedName>
    <definedName name="rptof" localSheetId="15">#REF!</definedName>
    <definedName name="rptof">#REF!</definedName>
    <definedName name="spanners_level1" localSheetId="18">#REF!</definedName>
    <definedName name="spanners_level1" localSheetId="19">#REF!</definedName>
    <definedName name="spanners_level1" localSheetId="11">#REF!</definedName>
    <definedName name="spanners_level1" localSheetId="12">#REF!</definedName>
    <definedName name="spanners_level1" localSheetId="16">#REF!</definedName>
    <definedName name="spanners_level1" localSheetId="17">#REF!</definedName>
    <definedName name="spanners_level1" localSheetId="13">#REF!</definedName>
    <definedName name="spanners_level1" localSheetId="15">#REF!</definedName>
    <definedName name="spanners_level1">#REF!</definedName>
    <definedName name="spanners_level2" localSheetId="18">#REF!</definedName>
    <definedName name="spanners_level2" localSheetId="19">#REF!</definedName>
    <definedName name="spanners_level2" localSheetId="11">#REF!</definedName>
    <definedName name="spanners_level2" localSheetId="12">#REF!</definedName>
    <definedName name="spanners_level2" localSheetId="16">#REF!</definedName>
    <definedName name="spanners_level2" localSheetId="17">#REF!</definedName>
    <definedName name="spanners_level2" localSheetId="13">#REF!</definedName>
    <definedName name="spanners_level2" localSheetId="15">#REF!</definedName>
    <definedName name="spanners_level2">#REF!</definedName>
    <definedName name="spanners_level3" localSheetId="18">#REF!</definedName>
    <definedName name="spanners_level3" localSheetId="19">#REF!</definedName>
    <definedName name="spanners_level3" localSheetId="11">#REF!</definedName>
    <definedName name="spanners_level3" localSheetId="12">#REF!</definedName>
    <definedName name="spanners_level3" localSheetId="16">#REF!</definedName>
    <definedName name="spanners_level3" localSheetId="17">#REF!</definedName>
    <definedName name="spanners_level3" localSheetId="13">#REF!</definedName>
    <definedName name="spanners_level3" localSheetId="15">#REF!</definedName>
    <definedName name="spanners_level3">#REF!</definedName>
    <definedName name="spanners_level4" localSheetId="18">#REF!</definedName>
    <definedName name="spanners_level4" localSheetId="19">#REF!</definedName>
    <definedName name="spanners_level4" localSheetId="11">#REF!</definedName>
    <definedName name="spanners_level4" localSheetId="12">#REF!</definedName>
    <definedName name="spanners_level4" localSheetId="16">#REF!</definedName>
    <definedName name="spanners_level4" localSheetId="17">#REF!</definedName>
    <definedName name="spanners_level4" localSheetId="13">#REF!</definedName>
    <definedName name="spanners_level4" localSheetId="15">#REF!</definedName>
    <definedName name="spanners_level4">#REF!</definedName>
    <definedName name="spanners_level5" localSheetId="18">#REF!</definedName>
    <definedName name="spanners_level5" localSheetId="19">#REF!</definedName>
    <definedName name="spanners_level5" localSheetId="11">#REF!</definedName>
    <definedName name="spanners_level5" localSheetId="12">#REF!</definedName>
    <definedName name="spanners_level5" localSheetId="16">#REF!</definedName>
    <definedName name="spanners_level5" localSheetId="17">#REF!</definedName>
    <definedName name="spanners_level5" localSheetId="13">#REF!</definedName>
    <definedName name="spanners_level5" localSheetId="15">#REF!</definedName>
    <definedName name="spanners_level5">#REF!</definedName>
    <definedName name="spanners_levelV" localSheetId="15">#REF!</definedName>
    <definedName name="spanners_levelV">#REF!</definedName>
    <definedName name="spanners_levelX" localSheetId="15">#REF!</definedName>
    <definedName name="spanners_levelX">#REF!</definedName>
    <definedName name="spanners_levelY" localSheetId="15">#REF!</definedName>
    <definedName name="spanners_levelY">#REF!</definedName>
    <definedName name="spanners_levelZ" localSheetId="15">#REF!</definedName>
    <definedName name="spanners_levelZ">#REF!</definedName>
    <definedName name="stub_lines" localSheetId="18">#REF!</definedName>
    <definedName name="stub_lines" localSheetId="19">#REF!</definedName>
    <definedName name="stub_lines" localSheetId="11">#REF!</definedName>
    <definedName name="stub_lines" localSheetId="12">#REF!</definedName>
    <definedName name="stub_lines" localSheetId="16">#REF!</definedName>
    <definedName name="stub_lines" localSheetId="17">#REF!</definedName>
    <definedName name="stub_lines" localSheetId="13">#REF!</definedName>
    <definedName name="stub_lines" localSheetId="15">#REF!</definedName>
    <definedName name="stub_lines">#REF!</definedName>
    <definedName name="temp" localSheetId="18">#REF!</definedName>
    <definedName name="temp" localSheetId="19">#REF!</definedName>
    <definedName name="temp" localSheetId="11">#REF!</definedName>
    <definedName name="temp" localSheetId="12">#REF!</definedName>
    <definedName name="temp" localSheetId="16">#REF!</definedName>
    <definedName name="temp" localSheetId="17">#REF!</definedName>
    <definedName name="temp" localSheetId="13">#REF!</definedName>
    <definedName name="temp" localSheetId="15">#REF!</definedName>
    <definedName name="temp">#REF!</definedName>
    <definedName name="titles" localSheetId="18">#REF!</definedName>
    <definedName name="titles" localSheetId="19">#REF!</definedName>
    <definedName name="titles" localSheetId="11">#REF!</definedName>
    <definedName name="titles" localSheetId="12">#REF!</definedName>
    <definedName name="titles" localSheetId="16">#REF!</definedName>
    <definedName name="titles" localSheetId="17">#REF!</definedName>
    <definedName name="titles" localSheetId="13">#REF!</definedName>
    <definedName name="titles" localSheetId="15">#REF!</definedName>
    <definedName name="titles">#REF!</definedName>
    <definedName name="totals" localSheetId="18">#REF!</definedName>
    <definedName name="totals" localSheetId="19">#REF!</definedName>
    <definedName name="totals" localSheetId="11">#REF!</definedName>
    <definedName name="totals" localSheetId="12">#REF!</definedName>
    <definedName name="totals" localSheetId="16">#REF!</definedName>
    <definedName name="totals" localSheetId="17">#REF!</definedName>
    <definedName name="totals" localSheetId="13">#REF!</definedName>
    <definedName name="totals" localSheetId="15">#REF!</definedName>
    <definedName name="totals">#REF!</definedName>
    <definedName name="Version" hidden="1">37448</definedName>
    <definedName name="xxx" localSheetId="18">#REF!</definedName>
    <definedName name="xxx" localSheetId="19">#REF!</definedName>
    <definedName name="xxx" localSheetId="11">#REF!</definedName>
    <definedName name="xxx" localSheetId="12">#REF!</definedName>
    <definedName name="xxx" localSheetId="16">#REF!</definedName>
    <definedName name="xxx" localSheetId="17">#REF!</definedName>
    <definedName name="xxx" localSheetId="13">#REF!</definedName>
    <definedName name="xxx" localSheetId="15">#REF!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<sst xmlns="http://schemas.openxmlformats.org/spreadsheetml/2006/main" count="313" uniqueCount="143">
  <si>
    <t>France</t>
  </si>
  <si>
    <t>Royaume-Uni</t>
  </si>
  <si>
    <t>Etats-Unis</t>
  </si>
  <si>
    <t>Suède</t>
  </si>
  <si>
    <t>Top 10%</t>
  </si>
  <si>
    <t>Top 1%</t>
  </si>
  <si>
    <t>Top 0,1%</t>
  </si>
  <si>
    <t>Note: as explained in the text, these are for all countries estimates of inequality of net worth betwen living adults (using mortality multiplier methods)</t>
  </si>
  <si>
    <t>France: see details for 1810-2010; computations using Piketty-Postel-Vinay-Rosenthal 2006 pour 1810-1990 (1810:1807; 1820: 1817; etc.; 1900: 1902; 1910: 1913; etc.; 1990: 1994)</t>
  </si>
  <si>
    <t>2010: Landais-Piketty-Saez 2011 (tableau patrimoine p.25) pour 2010 (see discussion in text)</t>
  </si>
  <si>
    <t xml:space="preserve">UK: 1910-1980 series based upon Atkinson-Harrison 1978 pp.139 et 159 and Atkinson et al 1989 table 1; 1990-2010 using IRS data; </t>
  </si>
  <si>
    <t>(Note: pas de top 0,1% estimate)</t>
  </si>
  <si>
    <t>1810-1870: Lindert 2000 table 2 (see also Waldenstrom 2009 Tables 4.A1-A3)</t>
  </si>
  <si>
    <t>1990-2010: official HMRC estimates using estate tax data; see Waldenstrom 2009 Tables A.A1-A3 and official HMRC publications for recent years, in particular "Personal Wealth Statistics 2001-03 to 2005-07" (June 2011) and "Personal Wealth Statistics 2008 to 2010" (September 2012).</t>
  </si>
  <si>
    <t>(Note: HMRC estimates are expressed relatively to population with probates, i.e. only 31% of adults in 2008-10; so top 30% in MRC Tables 13,8 corresponds to top 9,3% of total population)</t>
  </si>
  <si>
    <t xml:space="preserve">US: see details for 1910-2010; computations using Kennickell 2009-2011 SCF series for 1989-2009 period; Wolff 1994 SCF series for 1962-1989; and Kopczuk-Saez 2004 estate tax returns series for 1916-1962 (anchored to later series); </t>
  </si>
  <si>
    <t>1810: estimate based upon Shamas 1993 (see also Waldenstrom 2009) and Lindert 2000 (using Alice Hanson Jones) (middle estimate, see discussion in text)</t>
  </si>
  <si>
    <t>1870: estimates based upon wealth census used by Soltow (see also Lindert 2000 table 3; average 1860-1870) (see also Rosenbloom-Stutes NBER WP 2005 for top 1% wealth shares by US states using 1870 wealth census)</t>
  </si>
  <si>
    <t xml:space="preserve">Sweden: Roine-Waldenstrom SJE 2009 Table A1; 1870: moyenne 1873-1877; 1910: moyenne 1907-1908: 190: 1920; 1930: 1935; 1940: 1945; 1950: 1950; 1960: 1966; 1970: 1975; 1980: 1985,; 1900: 1992; 2000: 2004; 2010: 2005-2006  </t>
  </si>
  <si>
    <t>1810: based upon Soltow 1985; see Waldenstrom 2009</t>
  </si>
  <si>
    <t>Detailed computations for top wealth shares (France)</t>
  </si>
  <si>
    <t>PPVR 2006 Table 4                                                     (top shares among decedents, France)</t>
  </si>
  <si>
    <t>Top 10% wealth share</t>
  </si>
  <si>
    <t>Top 1% wealth share</t>
  </si>
  <si>
    <t>Top 0,1% wealth share</t>
  </si>
  <si>
    <t>1902-1909</t>
  </si>
  <si>
    <t>1910-1913</t>
  </si>
  <si>
    <t>1925-1929</t>
  </si>
  <si>
    <t>1930-1939</t>
  </si>
  <si>
    <t>1940-1949</t>
  </si>
  <si>
    <t>1950-1959</t>
  </si>
  <si>
    <t>1960-1964</t>
  </si>
  <si>
    <t>PPVR 2006 Table 2                                                           (top shares among decedents, Paris)</t>
  </si>
  <si>
    <t>Ratio Top 10% (living/ decedents)</t>
  </si>
  <si>
    <t>Ratio Top 1% (living/ decedents)</t>
  </si>
  <si>
    <t>Ratio Top 0,1% (living/ decedents)</t>
  </si>
  <si>
    <t>Note sur la méthode utilisée: compte tenu de l'instabilité du coefficient correcteur pour passer des morts aux vivants, il paraît plus justifié d'utiliser un rehaussement fixe (voir formules)</t>
  </si>
  <si>
    <r>
      <t xml:space="preserve">PPVR 2006 Table A7                                                     (top shares among decedents, France)                     </t>
    </r>
    <r>
      <rPr>
        <sz val="12"/>
        <rFont val="Arial Narrow"/>
        <family val="2"/>
      </rPr>
      <t>(= Piketty 2001 Tableau J11, version révisée avril 2003)</t>
    </r>
  </si>
  <si>
    <r>
      <t xml:space="preserve">PPVR 2006 Table A4 (II)  </t>
    </r>
    <r>
      <rPr>
        <sz val="12"/>
        <rFont val="Arial"/>
        <family val="2"/>
      </rPr>
      <t>(top shares among living, diffrential mortality, Paris (except 1947-1994: France))</t>
    </r>
  </si>
  <si>
    <t>Detailed computations for top wealth shares (US)</t>
  </si>
  <si>
    <t>Kopczuk-Saez Table B1</t>
  </si>
  <si>
    <t>Kopczuk-Saez decennial averages</t>
  </si>
  <si>
    <t>SCF (Kennickel 2009-2011; Wolff 1994)</t>
  </si>
  <si>
    <t>Ratio SCF/KS</t>
  </si>
  <si>
    <t>SCF: 1960: 1962 (Wolff 1994 Table 4) (corrected using Kennickell 2011 for 1989 gap)</t>
  </si>
  <si>
    <t>1980: average 1983-1989 (Kennickell 2009 Table 4 (1989) and Wolff 1994 Table 4 (1983))</t>
  </si>
  <si>
    <t>1990: average 1992-1995-1998 (Kennickell 2001 Table 4)</t>
  </si>
  <si>
    <t>2000: average 2001-2004 (Kennickell 2001 Table 4)</t>
  </si>
  <si>
    <t>2010: 2007 (Kennickell 2009 Table 4; according to Kennickell 2011 Tables 2-3, very little change between 2007 and 2009: all wealth levels reduced by roughy the same percentage)</t>
  </si>
  <si>
    <t>Top 1% wealth share  (Paris)</t>
  </si>
  <si>
    <t>Final estimates used here                                                   (top shares among living, France)</t>
  </si>
  <si>
    <t>Top 1% (Paris)</t>
  </si>
  <si>
    <t>PPVR 2011 Figure 3 (top shares among decedents, Paris)</t>
  </si>
  <si>
    <t>Figure 14</t>
  </si>
  <si>
    <t>Figure 16</t>
  </si>
  <si>
    <t>Figure 17</t>
  </si>
  <si>
    <t>Figure A15</t>
  </si>
  <si>
    <t>Table A12</t>
  </si>
  <si>
    <t>Piketty 2010 (appendix)</t>
  </si>
  <si>
    <t>1000-1500</t>
  </si>
  <si>
    <t>1820-1913</t>
  </si>
  <si>
    <t>1950-2012</t>
  </si>
  <si>
    <t>2012-2050</t>
  </si>
  <si>
    <t>2050-2100</t>
  </si>
  <si>
    <t>g</t>
  </si>
  <si>
    <t>g: repris de tableau S2.3 (lien rompu 16-3-2013)</t>
  </si>
  <si>
    <t>Note: Taux de rendement pur repris du tableau TS6.2 (lien rompu 16-3-2013)</t>
  </si>
  <si>
    <t>(voir formules)</t>
  </si>
  <si>
    <t>r après impôts: calculé à partir de r avant impôts en supposant un taux d'imposition moyen de 0% 0-1913, 30% en 1913-2012, 10% en 2012-2050 et 0% en 2050-2100 (et pertes en capital 2,5% par an en 1913-1950; et 0,5% par an en 1950-2012 pour prendre en compte profits entreprises publiques)</t>
  </si>
  <si>
    <t>1913-2012</t>
  </si>
  <si>
    <t>2012-2100</t>
  </si>
  <si>
    <t>2100-2200</t>
  </si>
  <si>
    <t>Table B11: Inheritance in Paris, 1872-1937 - Detailed asset composition by fractiles of net estate (subsample)</t>
  </si>
  <si>
    <t>(1)     Real estate assets</t>
  </si>
  <si>
    <t>inc. Paris real estate</t>
  </si>
  <si>
    <t>inc. Out-of-Paris real estate</t>
  </si>
  <si>
    <t>(2) Financial assets</t>
  </si>
  <si>
    <t>inc.:    (2a) Equity</t>
  </si>
  <si>
    <t>inc. Foreign equity</t>
  </si>
  <si>
    <t>inc.:   (2b) Private  bonds</t>
  </si>
  <si>
    <t>inc. Foreign private bonds</t>
  </si>
  <si>
    <t>inc.:    (2c)   Govt bonds</t>
  </si>
  <si>
    <t>inc. Foreign govt bonds</t>
  </si>
  <si>
    <t>(3) Furnitures</t>
  </si>
  <si>
    <t>Memo: Total foreign assets</t>
  </si>
  <si>
    <t>realestate</t>
  </si>
  <si>
    <t>realestaparis</t>
  </si>
  <si>
    <t>realestaprov</t>
  </si>
  <si>
    <t>finassets</t>
  </si>
  <si>
    <t>equity</t>
  </si>
  <si>
    <t>equityfor</t>
  </si>
  <si>
    <t>privbonds</t>
  </si>
  <si>
    <t>privbondsfor</t>
  </si>
  <si>
    <t>pubbonds</t>
  </si>
  <si>
    <t>pubbondsfor</t>
  </si>
  <si>
    <t>furnitures</t>
  </si>
  <si>
    <t>Note: For the purpose of this table, dowries were taken away from "other financial assets" (and therefore from gross assets).</t>
  </si>
  <si>
    <t>Sources: Authors computations using micro data collected in Paris estate tax archives (see do-file doTableB11.txt)</t>
  </si>
  <si>
    <t>inc.:    (2d)-(2e) Other</t>
  </si>
  <si>
    <t>Table extracted from PPVR 2011 Appendix B; see formulas on T10.1 (so as to include out-of-Paris real estate in 1872-1882)</t>
  </si>
  <si>
    <r>
      <t xml:space="preserve">Actifs immobiliers </t>
    </r>
    <r>
      <rPr>
        <sz val="10"/>
        <rFont val="Arial Narrow"/>
        <family val="2"/>
      </rPr>
      <t>(immeubles, maisons, terres agricoles,.)</t>
    </r>
  </si>
  <si>
    <t>dont: immobilier Paris</t>
  </si>
  <si>
    <t>dont: immobilier Province</t>
  </si>
  <si>
    <t>Tableau 10.1. La composition des patrimoines parisiens en 1872-1912</t>
  </si>
  <si>
    <t>Actifs financiers</t>
  </si>
  <si>
    <t>dont: Actions</t>
  </si>
  <si>
    <t>dt: Actions étrangères</t>
  </si>
  <si>
    <t>dont: Obligations publiques</t>
  </si>
  <si>
    <t>dont: Obligations privées</t>
  </si>
  <si>
    <t>dt. Obligations privées étrangères</t>
  </si>
  <si>
    <t>Composition du patrimoine total</t>
  </si>
  <si>
    <t>Composition des 1% des patrimoines les plus élevés</t>
  </si>
  <si>
    <t>Composition des 9% suivants</t>
  </si>
  <si>
    <t>Composition des 40% suivants</t>
  </si>
  <si>
    <t>Lecture: en 1912, les actifs immobliers représentent 36% du patrimoine total parisien, les actifs financiers 62%, et les meubles et objets précieux 3%. Sources: voir piketty.pse.ens.fr/capital21c.</t>
  </si>
  <si>
    <t>dt. Obligations publiques étrangères</t>
  </si>
  <si>
    <r>
      <t xml:space="preserve">dont: Autres actifs financiers </t>
    </r>
    <r>
      <rPr>
        <sz val="9"/>
        <rFont val="Arial Narrow"/>
        <family val="2"/>
      </rPr>
      <t>(dépôts, espèces,.)</t>
    </r>
  </si>
  <si>
    <t>Total des actifs étrangers</t>
  </si>
  <si>
    <t>Meubles, objets précieux, etc.</t>
  </si>
  <si>
    <t>Europe</t>
  </si>
  <si>
    <t>Tableau S10.5. La composition des patrimoines parisiens en 1872-1912</t>
  </si>
  <si>
    <t xml:space="preserve">Tableau S10.1. La concentration des patrimoines en Europe et aux Etats-Unis, 1810-2010 (séries utilisées pour les graphiques 10.1-10.6) </t>
  </si>
  <si>
    <t>(part dans le patrimoine total des x% des patrimoines les plus élevés)</t>
  </si>
  <si>
    <t>Sources:</t>
  </si>
  <si>
    <t>Tableau S10.2. Rendement du capital, taux de croissance, part du capital et taux d'épargne en France 1820-1910 (séris utilisées pour les graphiques 10.7-10.8)</t>
  </si>
  <si>
    <t>Taux d'épargne</t>
  </si>
  <si>
    <t>Part du capital</t>
  </si>
  <si>
    <t>Taux de rendement pur du capital</t>
  </si>
  <si>
    <t>(% revenu national)</t>
  </si>
  <si>
    <t>(%, avant impôt)</t>
  </si>
  <si>
    <t>Taux de rendement observé</t>
  </si>
  <si>
    <t>(%, après impôts)</t>
  </si>
  <si>
    <t>Taux de croissance</t>
  </si>
  <si>
    <t>(%)</t>
  </si>
  <si>
    <t>0-1000</t>
  </si>
  <si>
    <t>1500-1700</t>
  </si>
  <si>
    <t>1700-1820</t>
  </si>
  <si>
    <t>1913-1950</t>
  </si>
  <si>
    <t>r (avant impôts)</t>
  </si>
  <si>
    <t>r (après impôts)</t>
  </si>
  <si>
    <t>r avant impôt: repris de tableau S6.2 (lien rompu 16-3-2013)</t>
  </si>
  <si>
    <t>Tableau S10.4. Données détaillées sur la composition des patrimoines parisiens en 1872-1912</t>
  </si>
  <si>
    <t>Tableau S10.3. Rendement du capital et taux de croissance au niveau mondial, 0-2200                             (séries utilisées pour les graphiques 10.9-10.11)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</si>
</sst>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#,##0.0"/>
    <numFmt numFmtId="168" formatCode="#,##0.000"/>
    <numFmt numFmtId="169" formatCode="_-* #,##0.00_-;\-* #,##0.00_-;_-* &quot;-&quot;??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&quot;£&quot;* #,##0_-;\-&quot;£&quot;* #,##0_-;_-&quot;£&quot;* &quot;-&quot;_-;_-@_-"/>
    <numFmt numFmtId="173" formatCode="&quot;$&quot;#,##0_);\(&quot;$&quot;#,##0\)"/>
    <numFmt numFmtId="174" formatCode="General_)"/>
    <numFmt numFmtId="175" formatCode="#,##0.00__;\-#,##0.00__;#,##0.00__;@__"/>
    <numFmt numFmtId="176" formatCode="_ * #,##0.00_ ;_ * \-#,##0.00_ ;_ * &quot;-&quot;??_ ;_ @_ "/>
    <numFmt numFmtId="177" formatCode="0.0000%"/>
    <numFmt numFmtId="178" formatCode="_-* #,##0.00\ _F_-;\-* #,##0.00\ _F_-;_-* &quot;-&quot;??\ _F_-;_-@_-"/>
    <numFmt numFmtId="179" formatCode="0.000"/>
    <numFmt numFmtId="180" formatCode="0.000%"/>
    <numFmt numFmtId="181" formatCode="#,##0.00000"/>
    <numFmt numFmtId="182" formatCode="0.0000"/>
    <numFmt numFmtId="183" formatCode="#,##0.0000"/>
    <numFmt numFmtId="184" formatCode="#,##0.000000"/>
    <numFmt numFmtId="185" formatCode="#,##0\ &quot;€&quot;"/>
    <numFmt numFmtId="186" formatCode="0.00000%"/>
    <numFmt numFmtId="187" formatCode="0.000000%"/>
    <numFmt numFmtId="188" formatCode="#,##0.0000000"/>
    <numFmt numFmtId="189" formatCode="0.000000000000000%"/>
    <numFmt numFmtId="190" formatCode="0.00000000000000%"/>
    <numFmt numFmtId="191" formatCode="0.0000000000000%"/>
    <numFmt numFmtId="192" formatCode="0.000000000000%"/>
    <numFmt numFmtId="193" formatCode="0.00000000000%"/>
    <numFmt numFmtId="194" formatCode="0.0000000000%"/>
    <numFmt numFmtId="195" formatCode="0.000000000%"/>
    <numFmt numFmtId="196" formatCode="0.00000000%"/>
    <numFmt numFmtId="197" formatCode="0.0000000%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\$#,##0.00\ ;\(\$#,##0.00\)"/>
    <numFmt numFmtId="201" formatCode="0.0E+00"/>
    <numFmt numFmtId="202" formatCode="0E+00"/>
    <numFmt numFmtId="203" formatCode="&quot;Vrai&quot;;&quot;Vrai&quot;;&quot;Faux&quot;"/>
    <numFmt numFmtId="204" formatCode="&quot;Actif&quot;;&quot;Actif&quot;;&quot;Inactif&quot;"/>
    <numFmt numFmtId="205" formatCode="0.000000"/>
    <numFmt numFmtId="206" formatCode="0.00000"/>
    <numFmt numFmtId="207" formatCode="#,##0.0\ &quot;€&quot;"/>
    <numFmt numFmtId="208" formatCode="0.0000000000000000%"/>
  </numFmts>
  <fonts count="7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sz val="9"/>
      <color indexed="24"/>
      <name val="Arial Narrow"/>
      <family val="2"/>
    </font>
    <font>
      <i/>
      <sz val="10"/>
      <color indexed="24"/>
      <name val="Arial Narrow"/>
      <family val="2"/>
    </font>
    <font>
      <i/>
      <sz val="12"/>
      <name val="Arial"/>
      <family val="2"/>
    </font>
    <font>
      <sz val="8"/>
      <color indexed="24"/>
      <name val="Arial"/>
      <family val="2"/>
    </font>
    <font>
      <b/>
      <i/>
      <sz val="10"/>
      <name val="Arial Narrow"/>
      <family val="2"/>
    </font>
    <font>
      <b/>
      <i/>
      <sz val="10"/>
      <color indexed="24"/>
      <name val="Arial Narrow"/>
      <family val="2"/>
    </font>
    <font>
      <sz val="14"/>
      <color indexed="24"/>
      <name val="Arial"/>
      <family val="2"/>
    </font>
    <font>
      <sz val="10"/>
      <color indexed="8"/>
      <name val="Arial"/>
      <family val="0"/>
    </font>
    <font>
      <sz val="13.5"/>
      <color indexed="8"/>
      <name val="Arial"/>
      <family val="0"/>
    </font>
    <font>
      <sz val="12.85"/>
      <color indexed="8"/>
      <name val="Arial"/>
      <family val="0"/>
    </font>
    <font>
      <sz val="13.25"/>
      <color indexed="8"/>
      <name val="Arial"/>
      <family val="0"/>
    </font>
    <font>
      <sz val="13.8"/>
      <color indexed="8"/>
      <name val="Arial"/>
      <family val="0"/>
    </font>
    <font>
      <sz val="13.75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0.75"/>
      <color indexed="8"/>
      <name val="Arial"/>
      <family val="0"/>
    </font>
    <font>
      <b/>
      <sz val="16"/>
      <color indexed="8"/>
      <name val="Arial"/>
      <family val="0"/>
    </font>
    <font>
      <sz val="9.5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 Narrow"/>
      <family val="0"/>
    </font>
    <font>
      <sz val="11.75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  <border>
      <left style="mediumDashed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/>
    </border>
    <border>
      <left style="mediumDashed"/>
      <right style="mediumDashed"/>
      <top style="thick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thick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174" fontId="9" fillId="0" borderId="0">
      <alignment vertical="top"/>
      <protection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21" borderId="3" applyNumberFormat="0" applyAlignment="0" applyProtection="0"/>
    <xf numFmtId="170" fontId="0" fillId="0" borderId="0" applyFont="0" applyFill="0" applyBorder="0" applyAlignment="0" applyProtection="0"/>
    <xf numFmtId="3" fontId="13" fillId="0" borderId="0" applyFill="0" applyBorder="0">
      <alignment horizontal="right" vertical="top"/>
      <protection/>
    </xf>
    <xf numFmtId="168" fontId="13" fillId="0" borderId="0" applyFill="0" applyBorder="0">
      <alignment horizontal="right" vertical="top"/>
      <protection/>
    </xf>
    <xf numFmtId="3" fontId="13" fillId="0" borderId="0" applyFill="0" applyBorder="0">
      <alignment horizontal="right" vertical="top"/>
      <protection/>
    </xf>
    <xf numFmtId="167" fontId="9" fillId="0" borderId="0" applyFont="0" applyFill="0" applyBorder="0">
      <alignment horizontal="right" vertical="top"/>
      <protection/>
    </xf>
    <xf numFmtId="175" fontId="13" fillId="0" borderId="0" applyFont="0" applyFill="0" applyBorder="0" applyAlignment="0" applyProtection="0"/>
    <xf numFmtId="168" fontId="13" fillId="0" borderId="0">
      <alignment horizontal="right" vertical="top"/>
      <protection/>
    </xf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22" borderId="4" applyNumberFormat="0" applyFont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3" fontId="14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7" borderId="1" applyNumberFormat="0" applyAlignment="0" applyProtection="0"/>
    <xf numFmtId="0" fontId="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" fontId="9" fillId="0" borderId="0">
      <alignment vertical="top" wrapText="1"/>
      <protection/>
    </xf>
    <xf numFmtId="1" fontId="27" fillId="0" borderId="0" applyFill="0" applyBorder="0" applyProtection="0">
      <alignment/>
    </xf>
    <xf numFmtId="1" fontId="26" fillId="0" borderId="0" applyFont="0" applyFill="0" applyBorder="0" applyProtection="0">
      <alignment vertical="center"/>
    </xf>
    <xf numFmtId="1" fontId="28" fillId="0" borderId="0">
      <alignment horizontal="right" vertical="top"/>
      <protection/>
    </xf>
    <xf numFmtId="0" fontId="29" fillId="0" borderId="0">
      <alignment/>
      <protection/>
    </xf>
    <xf numFmtId="1" fontId="13" fillId="0" borderId="0" applyNumberFormat="0" applyFill="0" applyBorder="0">
      <alignment vertical="top"/>
      <protection/>
    </xf>
    <xf numFmtId="0" fontId="0" fillId="22" borderId="4" applyNumberFormat="0" applyFont="0" applyAlignment="0" applyProtection="0"/>
    <xf numFmtId="0" fontId="30" fillId="20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22" borderId="4" applyNumberFormat="0" applyFont="0" applyAlignment="0" applyProtection="0"/>
    <xf numFmtId="0" fontId="8" fillId="4" borderId="0" applyNumberFormat="0" applyBorder="0" applyAlignment="0" applyProtection="0"/>
    <xf numFmtId="0" fontId="30" fillId="20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49" fontId="13" fillId="0" borderId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2" fontId="1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34" fillId="0" borderId="0">
      <alignment vertical="top" wrapText="1"/>
      <protection/>
    </xf>
  </cellStyleXfs>
  <cellXfs count="272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/>
    </xf>
    <xf numFmtId="164" fontId="36" fillId="0" borderId="0" xfId="115" applyNumberFormat="1" applyFont="1" applyBorder="1" applyAlignment="1">
      <alignment horizontal="center"/>
      <protection/>
    </xf>
    <xf numFmtId="164" fontId="36" fillId="0" borderId="13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9" fontId="36" fillId="0" borderId="13" xfId="0" applyNumberFormat="1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9" fontId="36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15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165" fontId="36" fillId="0" borderId="13" xfId="0" applyNumberFormat="1" applyFont="1" applyBorder="1" applyAlignment="1">
      <alignment horizontal="center" vertical="center"/>
    </xf>
    <xf numFmtId="165" fontId="36" fillId="0" borderId="0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 wrapText="1"/>
    </xf>
    <xf numFmtId="165" fontId="36" fillId="0" borderId="18" xfId="0" applyNumberFormat="1" applyFont="1" applyBorder="1" applyAlignment="1">
      <alignment horizontal="center" wrapText="1"/>
    </xf>
    <xf numFmtId="165" fontId="36" fillId="0" borderId="19" xfId="0" applyNumberFormat="1" applyFont="1" applyBorder="1" applyAlignment="1">
      <alignment horizontal="center" wrapText="1"/>
    </xf>
    <xf numFmtId="165" fontId="36" fillId="0" borderId="0" xfId="0" applyNumberFormat="1" applyFont="1" applyBorder="1" applyAlignment="1">
      <alignment horizontal="center" wrapText="1"/>
    </xf>
    <xf numFmtId="165" fontId="36" fillId="0" borderId="13" xfId="0" applyNumberFormat="1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65" fontId="36" fillId="0" borderId="14" xfId="0" applyNumberFormat="1" applyFont="1" applyBorder="1" applyAlignment="1">
      <alignment horizontal="center" wrapText="1"/>
    </xf>
    <xf numFmtId="165" fontId="36" fillId="0" borderId="16" xfId="0" applyNumberFormat="1" applyFont="1" applyBorder="1" applyAlignment="1">
      <alignment horizontal="center" wrapText="1"/>
    </xf>
    <xf numFmtId="0" fontId="36" fillId="0" borderId="12" xfId="116" applyFont="1" applyBorder="1" applyAlignment="1">
      <alignment horizontal="center" vertical="justify"/>
      <protection/>
    </xf>
    <xf numFmtId="165" fontId="36" fillId="0" borderId="13" xfId="0" applyNumberFormat="1" applyFont="1" applyBorder="1" applyAlignment="1">
      <alignment horizontal="center"/>
    </xf>
    <xf numFmtId="165" fontId="36" fillId="0" borderId="12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6" fillId="0" borderId="15" xfId="0" applyFont="1" applyBorder="1" applyAlignment="1">
      <alignment horizontal="center" vertical="center" wrapText="1"/>
    </xf>
    <xf numFmtId="165" fontId="36" fillId="0" borderId="14" xfId="0" applyNumberFormat="1" applyFont="1" applyBorder="1" applyAlignment="1">
      <alignment horizontal="center" vertical="center"/>
    </xf>
    <xf numFmtId="165" fontId="36" fillId="0" borderId="16" xfId="0" applyNumberFormat="1" applyFont="1" applyBorder="1" applyAlignment="1">
      <alignment horizontal="center" vertical="center"/>
    </xf>
    <xf numFmtId="165" fontId="36" fillId="0" borderId="15" xfId="0" applyNumberFormat="1" applyFont="1" applyBorder="1" applyAlignment="1">
      <alignment horizontal="center"/>
    </xf>
    <xf numFmtId="165" fontId="36" fillId="0" borderId="14" xfId="0" applyNumberFormat="1" applyFont="1" applyBorder="1" applyAlignment="1">
      <alignment horizontal="center"/>
    </xf>
    <xf numFmtId="165" fontId="36" fillId="0" borderId="14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0" fontId="36" fillId="0" borderId="12" xfId="114" applyFont="1" applyBorder="1" applyAlignment="1">
      <alignment horizontal="center"/>
      <protection/>
    </xf>
    <xf numFmtId="0" fontId="36" fillId="0" borderId="0" xfId="114" applyFont="1" applyBorder="1" applyAlignment="1">
      <alignment horizontal="center"/>
      <protection/>
    </xf>
    <xf numFmtId="0" fontId="36" fillId="0" borderId="12" xfId="114" applyFont="1" applyBorder="1" applyAlignment="1">
      <alignment horizontal="left"/>
      <protection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116" applyFont="1" applyBorder="1" applyAlignment="1">
      <alignment horizontal="center" vertical="justify"/>
      <protection/>
    </xf>
    <xf numFmtId="165" fontId="36" fillId="0" borderId="16" xfId="0" applyNumberFormat="1" applyFont="1" applyBorder="1" applyAlignment="1">
      <alignment horizontal="center"/>
    </xf>
    <xf numFmtId="165" fontId="36" fillId="0" borderId="0" xfId="114" applyNumberFormat="1" applyFont="1" applyBorder="1" applyAlignment="1">
      <alignment horizontal="center"/>
      <protection/>
    </xf>
    <xf numFmtId="1" fontId="36" fillId="0" borderId="12" xfId="97" applyNumberFormat="1" applyFont="1" applyBorder="1" applyAlignment="1">
      <alignment horizontal="center"/>
    </xf>
    <xf numFmtId="0" fontId="36" fillId="0" borderId="15" xfId="114" applyFont="1" applyBorder="1" applyAlignment="1">
      <alignment horizontal="center"/>
      <protection/>
    </xf>
    <xf numFmtId="165" fontId="36" fillId="0" borderId="14" xfId="114" applyNumberFormat="1" applyFont="1" applyBorder="1" applyAlignment="1">
      <alignment horizontal="center"/>
      <protection/>
    </xf>
    <xf numFmtId="0" fontId="36" fillId="0" borderId="16" xfId="0" applyFont="1" applyBorder="1" applyAlignment="1">
      <alignment/>
    </xf>
    <xf numFmtId="0" fontId="36" fillId="0" borderId="15" xfId="0" applyFont="1" applyBorder="1" applyAlignment="1">
      <alignment horizontal="center"/>
    </xf>
    <xf numFmtId="9" fontId="3" fillId="0" borderId="0" xfId="117" applyNumberFormat="1" applyFont="1" applyAlignment="1">
      <alignment horizontal="center" vertical="center"/>
      <protection/>
    </xf>
    <xf numFmtId="9" fontId="3" fillId="0" borderId="0" xfId="117" applyNumberFormat="1" applyFont="1" applyAlignment="1">
      <alignment horizontal="center"/>
      <protection/>
    </xf>
    <xf numFmtId="164" fontId="36" fillId="0" borderId="0" xfId="114" applyNumberFormat="1" applyFont="1" applyBorder="1" applyAlignment="1">
      <alignment horizontal="center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114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112" applyFont="1" applyFill="1" applyBorder="1" applyAlignment="1">
      <alignment/>
      <protection/>
    </xf>
    <xf numFmtId="165" fontId="44" fillId="0" borderId="0" xfId="113" applyNumberFormat="1" applyFont="1">
      <alignment/>
      <protection/>
    </xf>
    <xf numFmtId="0" fontId="43" fillId="0" borderId="0" xfId="113" applyFont="1">
      <alignment/>
      <protection/>
    </xf>
    <xf numFmtId="0" fontId="14" fillId="0" borderId="0" xfId="113">
      <alignment/>
      <protection/>
    </xf>
    <xf numFmtId="0" fontId="38" fillId="0" borderId="20" xfId="113" applyFont="1" applyBorder="1" applyAlignment="1">
      <alignment horizontal="center" vertical="center" wrapText="1"/>
      <protection/>
    </xf>
    <xf numFmtId="1" fontId="14" fillId="0" borderId="0" xfId="113" applyNumberFormat="1">
      <alignment/>
      <protection/>
    </xf>
    <xf numFmtId="0" fontId="49" fillId="0" borderId="0" xfId="113" applyFont="1">
      <alignment/>
      <protection/>
    </xf>
    <xf numFmtId="0" fontId="45" fillId="0" borderId="12" xfId="113" applyFont="1" applyBorder="1" applyAlignment="1">
      <alignment horizontal="center" vertical="center" wrapText="1"/>
      <protection/>
    </xf>
    <xf numFmtId="0" fontId="40" fillId="0" borderId="12" xfId="113" applyFont="1" applyBorder="1" applyAlignment="1">
      <alignment horizontal="center" vertical="center" wrapText="1"/>
      <protection/>
    </xf>
    <xf numFmtId="9" fontId="36" fillId="0" borderId="0" xfId="113" applyNumberFormat="1" applyFont="1" applyBorder="1" applyAlignment="1">
      <alignment horizontal="center" vertical="center" wrapText="1"/>
      <protection/>
    </xf>
    <xf numFmtId="9" fontId="53" fillId="0" borderId="0" xfId="113" applyNumberFormat="1" applyFont="1" applyBorder="1" applyAlignment="1">
      <alignment horizontal="center" vertical="center" wrapText="1"/>
      <protection/>
    </xf>
    <xf numFmtId="9" fontId="53" fillId="0" borderId="21" xfId="113" applyNumberFormat="1" applyFont="1" applyBorder="1" applyAlignment="1">
      <alignment horizontal="center" vertical="center" wrapText="1"/>
      <protection/>
    </xf>
    <xf numFmtId="0" fontId="36" fillId="0" borderId="12" xfId="113" applyFont="1" applyBorder="1" applyAlignment="1">
      <alignment horizontal="center" vertical="center" wrapText="1"/>
      <protection/>
    </xf>
    <xf numFmtId="9" fontId="38" fillId="0" borderId="0" xfId="113" applyNumberFormat="1" applyFont="1" applyBorder="1" applyAlignment="1">
      <alignment horizontal="center" vertical="center"/>
      <protection/>
    </xf>
    <xf numFmtId="9" fontId="41" fillId="0" borderId="0" xfId="113" applyNumberFormat="1" applyFont="1" applyBorder="1" applyAlignment="1">
      <alignment horizontal="center" vertical="center"/>
      <protection/>
    </xf>
    <xf numFmtId="9" fontId="36" fillId="0" borderId="0" xfId="113" applyNumberFormat="1" applyFont="1" applyBorder="1" applyAlignment="1">
      <alignment horizontal="center" vertical="center"/>
      <protection/>
    </xf>
    <xf numFmtId="9" fontId="53" fillId="0" borderId="13" xfId="113" applyNumberFormat="1" applyFont="1" applyBorder="1" applyAlignment="1">
      <alignment horizontal="center" vertical="center"/>
      <protection/>
    </xf>
    <xf numFmtId="164" fontId="54" fillId="0" borderId="0" xfId="113" applyNumberFormat="1" applyFont="1">
      <alignment/>
      <protection/>
    </xf>
    <xf numFmtId="3" fontId="36" fillId="0" borderId="0" xfId="113" applyNumberFormat="1" applyFont="1" applyBorder="1" applyAlignment="1">
      <alignment horizontal="center" vertical="center"/>
      <protection/>
    </xf>
    <xf numFmtId="0" fontId="14" fillId="0" borderId="12" xfId="113" applyBorder="1">
      <alignment/>
      <protection/>
    </xf>
    <xf numFmtId="0" fontId="14" fillId="0" borderId="0" xfId="113" applyBorder="1">
      <alignment/>
      <protection/>
    </xf>
    <xf numFmtId="164" fontId="49" fillId="0" borderId="0" xfId="113" applyNumberFormat="1" applyFont="1">
      <alignment/>
      <protection/>
    </xf>
    <xf numFmtId="9" fontId="38" fillId="0" borderId="12" xfId="113" applyNumberFormat="1" applyFont="1" applyBorder="1" applyAlignment="1">
      <alignment horizontal="center" vertical="center"/>
      <protection/>
    </xf>
    <xf numFmtId="9" fontId="41" fillId="0" borderId="13" xfId="113" applyNumberFormat="1" applyFont="1" applyBorder="1" applyAlignment="1">
      <alignment horizontal="center" vertical="center"/>
      <protection/>
    </xf>
    <xf numFmtId="9" fontId="36" fillId="0" borderId="22" xfId="113" applyNumberFormat="1" applyFont="1" applyBorder="1" applyAlignment="1">
      <alignment horizontal="center" vertical="center"/>
      <protection/>
    </xf>
    <xf numFmtId="9" fontId="41" fillId="0" borderId="23" xfId="113" applyNumberFormat="1" applyFont="1" applyBorder="1" applyAlignment="1">
      <alignment horizontal="center" vertical="center"/>
      <protection/>
    </xf>
    <xf numFmtId="9" fontId="36" fillId="0" borderId="24" xfId="113" applyNumberFormat="1" applyFont="1" applyBorder="1" applyAlignment="1">
      <alignment horizontal="center" vertical="center"/>
      <protection/>
    </xf>
    <xf numFmtId="0" fontId="45" fillId="0" borderId="17" xfId="113" applyFont="1" applyBorder="1" applyAlignment="1">
      <alignment horizontal="center" vertical="center" wrapText="1"/>
      <protection/>
    </xf>
    <xf numFmtId="9" fontId="38" fillId="0" borderId="13" xfId="113" applyNumberFormat="1" applyFont="1" applyBorder="1" applyAlignment="1">
      <alignment horizontal="center" vertical="center"/>
      <protection/>
    </xf>
    <xf numFmtId="0" fontId="36" fillId="0" borderId="15" xfId="113" applyFont="1" applyBorder="1" applyAlignment="1">
      <alignment horizontal="center" vertical="center" wrapText="1"/>
      <protection/>
    </xf>
    <xf numFmtId="9" fontId="38" fillId="0" borderId="15" xfId="113" applyNumberFormat="1" applyFont="1" applyBorder="1" applyAlignment="1">
      <alignment horizontal="center" vertical="center"/>
      <protection/>
    </xf>
    <xf numFmtId="9" fontId="41" fillId="0" borderId="14" xfId="113" applyNumberFormat="1" applyFont="1" applyBorder="1" applyAlignment="1">
      <alignment horizontal="center" vertical="center"/>
      <protection/>
    </xf>
    <xf numFmtId="9" fontId="41" fillId="0" borderId="16" xfId="113" applyNumberFormat="1" applyFont="1" applyBorder="1" applyAlignment="1">
      <alignment horizontal="center" vertical="center"/>
      <protection/>
    </xf>
    <xf numFmtId="9" fontId="38" fillId="0" borderId="14" xfId="113" applyNumberFormat="1" applyFont="1" applyBorder="1" applyAlignment="1">
      <alignment horizontal="center" vertical="center"/>
      <protection/>
    </xf>
    <xf numFmtId="9" fontId="36" fillId="0" borderId="25" xfId="113" applyNumberFormat="1" applyFont="1" applyBorder="1" applyAlignment="1">
      <alignment horizontal="center" vertical="center"/>
      <protection/>
    </xf>
    <xf numFmtId="9" fontId="41" fillId="0" borderId="26" xfId="113" applyNumberFormat="1" applyFont="1" applyBorder="1" applyAlignment="1">
      <alignment horizontal="center" vertical="center"/>
      <protection/>
    </xf>
    <xf numFmtId="9" fontId="36" fillId="0" borderId="14" xfId="113" applyNumberFormat="1" applyFont="1" applyBorder="1" applyAlignment="1">
      <alignment horizontal="center" vertical="center"/>
      <protection/>
    </xf>
    <xf numFmtId="9" fontId="36" fillId="0" borderId="27" xfId="113" applyNumberFormat="1" applyFont="1" applyBorder="1" applyAlignment="1">
      <alignment horizontal="center" vertical="center"/>
      <protection/>
    </xf>
    <xf numFmtId="9" fontId="53" fillId="0" borderId="16" xfId="113" applyNumberFormat="1" applyFont="1" applyBorder="1" applyAlignment="1">
      <alignment horizontal="center" vertical="center"/>
      <protection/>
    </xf>
    <xf numFmtId="9" fontId="38" fillId="0" borderId="16" xfId="113" applyNumberFormat="1" applyFont="1" applyBorder="1" applyAlignment="1">
      <alignment horizontal="center" vertical="center"/>
      <protection/>
    </xf>
    <xf numFmtId="0" fontId="38" fillId="0" borderId="15" xfId="113" applyFont="1" applyBorder="1" applyAlignment="1">
      <alignment horizontal="center" vertical="center" wrapText="1"/>
      <protection/>
    </xf>
    <xf numFmtId="9" fontId="36" fillId="0" borderId="28" xfId="113" applyNumberFormat="1" applyFont="1" applyBorder="1" applyAlignment="1">
      <alignment horizontal="center" vertical="center"/>
      <protection/>
    </xf>
    <xf numFmtId="9" fontId="36" fillId="0" borderId="29" xfId="113" applyNumberFormat="1" applyFont="1" applyBorder="1" applyAlignment="1">
      <alignment horizontal="center" vertical="center"/>
      <protection/>
    </xf>
    <xf numFmtId="9" fontId="41" fillId="0" borderId="24" xfId="113" applyNumberFormat="1" applyFont="1" applyBorder="1" applyAlignment="1">
      <alignment horizontal="center" vertical="center"/>
      <protection/>
    </xf>
    <xf numFmtId="9" fontId="41" fillId="0" borderId="27" xfId="113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164" fontId="36" fillId="0" borderId="14" xfId="115" applyNumberFormat="1" applyFont="1" applyBorder="1" applyAlignment="1">
      <alignment horizontal="center"/>
      <protection/>
    </xf>
    <xf numFmtId="164" fontId="36" fillId="0" borderId="12" xfId="115" applyNumberFormat="1" applyFont="1" applyBorder="1" applyAlignment="1">
      <alignment horizontal="center"/>
      <protection/>
    </xf>
    <xf numFmtId="164" fontId="36" fillId="0" borderId="15" xfId="115" applyNumberFormat="1" applyFont="1" applyBorder="1" applyAlignment="1">
      <alignment horizontal="center"/>
      <protection/>
    </xf>
    <xf numFmtId="164" fontId="36" fillId="0" borderId="17" xfId="115" applyNumberFormat="1" applyFont="1" applyBorder="1" applyAlignment="1">
      <alignment horizontal="center"/>
      <protection/>
    </xf>
    <xf numFmtId="0" fontId="36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164" fontId="36" fillId="0" borderId="34" xfId="0" applyNumberFormat="1" applyFont="1" applyBorder="1" applyAlignment="1">
      <alignment horizontal="center"/>
    </xf>
    <xf numFmtId="164" fontId="36" fillId="0" borderId="35" xfId="0" applyNumberFormat="1" applyFont="1" applyBorder="1" applyAlignment="1">
      <alignment horizontal="center"/>
    </xf>
    <xf numFmtId="164" fontId="36" fillId="0" borderId="36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6" xfId="112" applyFont="1" applyBorder="1" applyAlignment="1">
      <alignment horizontal="center" vertical="center"/>
      <protection/>
    </xf>
    <xf numFmtId="164" fontId="36" fillId="0" borderId="36" xfId="0" applyNumberFormat="1" applyFont="1" applyBorder="1" applyAlignment="1">
      <alignment horizontal="center" vertical="center"/>
    </xf>
    <xf numFmtId="0" fontId="36" fillId="0" borderId="35" xfId="112" applyFont="1" applyBorder="1" applyAlignment="1">
      <alignment horizontal="center" vertical="center"/>
      <protection/>
    </xf>
    <xf numFmtId="0" fontId="36" fillId="0" borderId="3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33" xfId="0" applyFont="1" applyBorder="1" applyAlignment="1">
      <alignment horizontal="center" vertical="center"/>
    </xf>
    <xf numFmtId="164" fontId="36" fillId="0" borderId="36" xfId="112" applyNumberFormat="1" applyFont="1" applyBorder="1" applyAlignment="1">
      <alignment horizontal="center" vertical="center"/>
      <protection/>
    </xf>
    <xf numFmtId="164" fontId="36" fillId="0" borderId="35" xfId="112" applyNumberFormat="1" applyFont="1" applyBorder="1" applyAlignment="1">
      <alignment horizontal="center" vertical="center"/>
      <protection/>
    </xf>
    <xf numFmtId="164" fontId="36" fillId="0" borderId="35" xfId="0" applyNumberFormat="1" applyFont="1" applyBorder="1" applyAlignment="1">
      <alignment horizontal="center" vertical="center"/>
    </xf>
    <xf numFmtId="0" fontId="0" fillId="0" borderId="0" xfId="112" applyFont="1" applyFill="1" applyBorder="1" applyAlignment="1">
      <alignment/>
      <protection/>
    </xf>
    <xf numFmtId="0" fontId="47" fillId="0" borderId="19" xfId="113" applyFont="1" applyBorder="1" applyAlignment="1">
      <alignment horizontal="center" vertical="center" wrapText="1"/>
      <protection/>
    </xf>
    <xf numFmtId="0" fontId="47" fillId="0" borderId="13" xfId="113" applyFont="1" applyBorder="1" applyAlignment="1">
      <alignment horizontal="center" vertical="center" wrapText="1"/>
      <protection/>
    </xf>
    <xf numFmtId="0" fontId="51" fillId="0" borderId="16" xfId="113" applyFont="1" applyBorder="1" applyAlignment="1">
      <alignment horizontal="center" vertical="center" wrapText="1"/>
      <protection/>
    </xf>
    <xf numFmtId="0" fontId="37" fillId="0" borderId="30" xfId="113" applyFont="1" applyBorder="1" applyAlignment="1">
      <alignment horizontal="center" vertical="center" wrapText="1"/>
      <protection/>
    </xf>
    <xf numFmtId="0" fontId="57" fillId="0" borderId="31" xfId="113" applyFont="1" applyBorder="1" applyAlignment="1">
      <alignment horizontal="center" vertical="center" wrapText="1"/>
      <protection/>
    </xf>
    <xf numFmtId="0" fontId="57" fillId="0" borderId="32" xfId="113" applyFont="1" applyBorder="1" applyAlignment="1">
      <alignment horizontal="center" vertical="center" wrapText="1"/>
      <protection/>
    </xf>
    <xf numFmtId="0" fontId="38" fillId="0" borderId="14" xfId="113" applyFont="1" applyBorder="1" applyAlignment="1">
      <alignment horizontal="center" vertical="center" wrapText="1"/>
      <protection/>
    </xf>
    <xf numFmtId="0" fontId="38" fillId="0" borderId="16" xfId="113" applyFont="1" applyBorder="1" applyAlignment="1">
      <alignment horizontal="center" vertical="center" wrapText="1"/>
      <protection/>
    </xf>
    <xf numFmtId="0" fontId="45" fillId="0" borderId="17" xfId="113" applyFont="1" applyBorder="1" applyAlignment="1">
      <alignment horizontal="center" vertical="center" wrapText="1"/>
      <protection/>
    </xf>
    <xf numFmtId="0" fontId="45" fillId="0" borderId="12" xfId="113" applyFont="1" applyBorder="1" applyAlignment="1">
      <alignment horizontal="center" vertical="center" wrapText="1"/>
      <protection/>
    </xf>
    <xf numFmtId="0" fontId="45" fillId="0" borderId="15" xfId="113" applyFont="1" applyBorder="1" applyAlignment="1">
      <alignment horizontal="center" vertical="center" wrapText="1"/>
      <protection/>
    </xf>
    <xf numFmtId="0" fontId="46" fillId="0" borderId="17" xfId="113" applyFont="1" applyBorder="1" applyAlignment="1">
      <alignment horizontal="center" vertical="center" wrapText="1"/>
      <protection/>
    </xf>
    <xf numFmtId="0" fontId="46" fillId="0" borderId="12" xfId="113" applyFont="1" applyBorder="1" applyAlignment="1">
      <alignment horizontal="center" vertical="center" wrapText="1"/>
      <protection/>
    </xf>
    <xf numFmtId="0" fontId="50" fillId="0" borderId="15" xfId="113" applyFont="1" applyBorder="1" applyAlignment="1">
      <alignment horizontal="center" vertical="center" wrapText="1"/>
      <protection/>
    </xf>
    <xf numFmtId="0" fontId="46" fillId="0" borderId="18" xfId="113" applyFont="1" applyBorder="1" applyAlignment="1">
      <alignment horizontal="center" vertical="center" wrapText="1"/>
      <protection/>
    </xf>
    <xf numFmtId="0" fontId="46" fillId="0" borderId="0" xfId="113" applyFont="1" applyBorder="1" applyAlignment="1">
      <alignment horizontal="center" vertical="center" wrapText="1"/>
      <protection/>
    </xf>
    <xf numFmtId="0" fontId="50" fillId="0" borderId="14" xfId="113" applyFont="1" applyBorder="1" applyAlignment="1">
      <alignment horizontal="center" vertical="center" wrapText="1"/>
      <protection/>
    </xf>
    <xf numFmtId="0" fontId="42" fillId="0" borderId="37" xfId="113" applyFont="1" applyBorder="1" applyAlignment="1">
      <alignment horizontal="center" vertical="center" wrapText="1"/>
      <protection/>
    </xf>
    <xf numFmtId="0" fontId="42" fillId="0" borderId="22" xfId="113" applyFont="1" applyBorder="1" applyAlignment="1">
      <alignment horizontal="center" vertical="center" wrapText="1"/>
      <protection/>
    </xf>
    <xf numFmtId="0" fontId="49" fillId="0" borderId="25" xfId="113" applyFont="1" applyBorder="1" applyAlignment="1">
      <alignment horizontal="center" vertical="center" wrapText="1"/>
      <protection/>
    </xf>
    <xf numFmtId="0" fontId="36" fillId="0" borderId="18" xfId="113" applyFont="1" applyFill="1" applyBorder="1" applyAlignment="1">
      <alignment horizontal="center" vertical="center" wrapText="1"/>
      <protection/>
    </xf>
    <xf numFmtId="0" fontId="36" fillId="0" borderId="19" xfId="113" applyFont="1" applyFill="1" applyBorder="1" applyAlignment="1">
      <alignment horizontal="center" vertical="center" wrapText="1"/>
      <protection/>
    </xf>
    <xf numFmtId="0" fontId="41" fillId="0" borderId="17" xfId="113" applyFont="1" applyBorder="1" applyAlignment="1">
      <alignment horizontal="justify" vertical="top" wrapText="1"/>
      <protection/>
    </xf>
    <xf numFmtId="0" fontId="41" fillId="0" borderId="18" xfId="113" applyFont="1" applyBorder="1" applyAlignment="1">
      <alignment horizontal="justify" vertical="top" wrapText="1"/>
      <protection/>
    </xf>
    <xf numFmtId="0" fontId="41" fillId="0" borderId="19" xfId="113" applyFont="1" applyBorder="1" applyAlignment="1">
      <alignment horizontal="justify" vertical="top" wrapText="1"/>
      <protection/>
    </xf>
    <xf numFmtId="0" fontId="41" fillId="0" borderId="15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2" fillId="0" borderId="38" xfId="113" applyFont="1" applyBorder="1" applyAlignment="1">
      <alignment horizontal="center" vertical="center" wrapText="1"/>
      <protection/>
    </xf>
    <xf numFmtId="0" fontId="42" fillId="0" borderId="24" xfId="113" applyFont="1" applyBorder="1" applyAlignment="1">
      <alignment horizontal="center" vertical="center" wrapText="1"/>
      <protection/>
    </xf>
    <xf numFmtId="0" fontId="49" fillId="0" borderId="27" xfId="113" applyFont="1" applyBorder="1" applyAlignment="1">
      <alignment horizontal="center" vertical="center" wrapText="1"/>
      <protection/>
    </xf>
    <xf numFmtId="0" fontId="46" fillId="0" borderId="19" xfId="113" applyFont="1" applyBorder="1" applyAlignment="1">
      <alignment horizontal="center" vertical="center" wrapText="1"/>
      <protection/>
    </xf>
    <xf numFmtId="0" fontId="46" fillId="0" borderId="13" xfId="113" applyFont="1" applyBorder="1" applyAlignment="1">
      <alignment horizontal="center" vertical="center" wrapText="1"/>
      <protection/>
    </xf>
    <xf numFmtId="0" fontId="50" fillId="0" borderId="16" xfId="113" applyFont="1" applyBorder="1" applyAlignment="1">
      <alignment horizontal="center" vertical="center" wrapText="1"/>
      <protection/>
    </xf>
    <xf numFmtId="0" fontId="42" fillId="0" borderId="39" xfId="113" applyFont="1" applyBorder="1" applyAlignment="1">
      <alignment horizontal="center" vertical="center" wrapText="1"/>
      <protection/>
    </xf>
    <xf numFmtId="0" fontId="42" fillId="0" borderId="23" xfId="113" applyFont="1" applyBorder="1" applyAlignment="1">
      <alignment horizontal="center" vertical="center" wrapText="1"/>
      <protection/>
    </xf>
    <xf numFmtId="0" fontId="49" fillId="0" borderId="26" xfId="113" applyFont="1" applyBorder="1" applyAlignment="1">
      <alignment horizontal="center" vertical="center" wrapText="1"/>
      <protection/>
    </xf>
    <xf numFmtId="0" fontId="42" fillId="0" borderId="19" xfId="113" applyFont="1" applyBorder="1" applyAlignment="1">
      <alignment horizontal="center" vertical="center" wrapText="1"/>
      <protection/>
    </xf>
    <xf numFmtId="0" fontId="42" fillId="0" borderId="13" xfId="113" applyFont="1" applyBorder="1" applyAlignment="1">
      <alignment horizontal="center" vertical="center" wrapText="1"/>
      <protection/>
    </xf>
    <xf numFmtId="0" fontId="49" fillId="0" borderId="16" xfId="113" applyFont="1" applyBorder="1" applyAlignment="1">
      <alignment horizontal="center" vertical="center" wrapText="1"/>
      <protection/>
    </xf>
    <xf numFmtId="0" fontId="47" fillId="0" borderId="38" xfId="113" applyFont="1" applyBorder="1" applyAlignment="1">
      <alignment horizontal="center" vertical="center" wrapText="1"/>
      <protection/>
    </xf>
    <xf numFmtId="0" fontId="47" fillId="0" borderId="24" xfId="113" applyFont="1" applyBorder="1" applyAlignment="1">
      <alignment horizontal="center" vertical="center" wrapText="1"/>
      <protection/>
    </xf>
    <xf numFmtId="0" fontId="51" fillId="0" borderId="27" xfId="113" applyFont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47" fillId="0" borderId="39" xfId="113" applyFont="1" applyBorder="1" applyAlignment="1">
      <alignment horizontal="center" vertical="center" wrapText="1"/>
      <protection/>
    </xf>
    <xf numFmtId="0" fontId="47" fillId="0" borderId="23" xfId="113" applyFont="1" applyBorder="1" applyAlignment="1">
      <alignment horizontal="center" vertical="center" wrapText="1"/>
      <protection/>
    </xf>
    <xf numFmtId="0" fontId="51" fillId="0" borderId="26" xfId="113" applyFont="1" applyBorder="1" applyAlignment="1">
      <alignment horizontal="center" vertical="center" wrapText="1"/>
      <protection/>
    </xf>
    <xf numFmtId="0" fontId="42" fillId="0" borderId="18" xfId="113" applyFont="1" applyBorder="1" applyAlignment="1">
      <alignment horizontal="center" vertical="center" wrapText="1"/>
      <protection/>
    </xf>
    <xf numFmtId="0" fontId="42" fillId="0" borderId="0" xfId="113" applyFont="1" applyBorder="1" applyAlignment="1">
      <alignment horizontal="center" vertical="center" wrapText="1"/>
      <protection/>
    </xf>
    <xf numFmtId="0" fontId="49" fillId="0" borderId="14" xfId="113" applyFont="1" applyBorder="1" applyAlignment="1">
      <alignment horizontal="center" vertical="center" wrapText="1"/>
      <protection/>
    </xf>
    <xf numFmtId="0" fontId="55" fillId="0" borderId="19" xfId="113" applyFont="1" applyBorder="1" applyAlignment="1">
      <alignment horizontal="center" vertical="center" wrapText="1"/>
      <protection/>
    </xf>
    <xf numFmtId="0" fontId="55" fillId="0" borderId="13" xfId="113" applyFont="1" applyBorder="1" applyAlignment="1">
      <alignment horizontal="center" vertical="center" wrapText="1"/>
      <protection/>
    </xf>
    <xf numFmtId="0" fontId="56" fillId="0" borderId="16" xfId="113" applyFont="1" applyBorder="1" applyAlignment="1">
      <alignment horizontal="center" vertical="center" wrapText="1"/>
      <protection/>
    </xf>
    <xf numFmtId="0" fontId="47" fillId="0" borderId="18" xfId="113" applyFont="1" applyBorder="1" applyAlignment="1">
      <alignment horizontal="center" vertical="center" wrapText="1"/>
      <protection/>
    </xf>
    <xf numFmtId="0" fontId="47" fillId="0" borderId="0" xfId="113" applyFont="1" applyBorder="1" applyAlignment="1">
      <alignment horizontal="center" vertical="center" wrapText="1"/>
      <protection/>
    </xf>
    <xf numFmtId="0" fontId="51" fillId="0" borderId="14" xfId="113" applyFont="1" applyBorder="1" applyAlignment="1">
      <alignment horizontal="center" vertical="center" wrapText="1"/>
      <protection/>
    </xf>
    <xf numFmtId="0" fontId="36" fillId="0" borderId="17" xfId="114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7" xfId="113" applyFont="1" applyBorder="1" applyAlignment="1">
      <alignment horizontal="justify" vertical="top" wrapText="1"/>
      <protection/>
    </xf>
    <xf numFmtId="0" fontId="36" fillId="0" borderId="18" xfId="113" applyFont="1" applyBorder="1" applyAlignment="1">
      <alignment horizontal="justify" vertical="top" wrapText="1"/>
      <protection/>
    </xf>
    <xf numFmtId="0" fontId="36" fillId="0" borderId="30" xfId="113" applyFont="1" applyBorder="1" applyAlignment="1">
      <alignment wrapText="1"/>
      <protection/>
    </xf>
    <xf numFmtId="0" fontId="14" fillId="0" borderId="31" xfId="113" applyBorder="1" applyAlignment="1">
      <alignment wrapText="1"/>
      <protection/>
    </xf>
    <xf numFmtId="0" fontId="14" fillId="0" borderId="31" xfId="113" applyBorder="1" applyAlignment="1">
      <alignment/>
      <protection/>
    </xf>
    <xf numFmtId="0" fontId="43" fillId="0" borderId="40" xfId="113" applyFont="1" applyBorder="1" applyAlignment="1">
      <alignment horizontal="center" vertical="center" wrapText="1"/>
      <protection/>
    </xf>
    <xf numFmtId="0" fontId="43" fillId="0" borderId="41" xfId="113" applyFont="1" applyBorder="1" applyAlignment="1">
      <alignment horizontal="center" vertical="center" wrapText="1"/>
      <protection/>
    </xf>
    <xf numFmtId="0" fontId="42" fillId="0" borderId="40" xfId="113" applyFont="1" applyBorder="1" applyAlignment="1">
      <alignment horizontal="center" vertical="center" wrapText="1"/>
      <protection/>
    </xf>
    <xf numFmtId="0" fontId="49" fillId="0" borderId="0" xfId="113" applyFont="1" applyBorder="1" applyAlignment="1">
      <alignment horizontal="center" vertical="center" wrapText="1"/>
      <protection/>
    </xf>
    <xf numFmtId="0" fontId="46" fillId="0" borderId="40" xfId="113" applyFont="1" applyBorder="1" applyAlignment="1">
      <alignment horizontal="center" vertical="center" wrapText="1"/>
      <protection/>
    </xf>
    <xf numFmtId="0" fontId="50" fillId="0" borderId="0" xfId="113" applyFont="1" applyBorder="1" applyAlignment="1">
      <alignment horizontal="center" vertical="center" wrapText="1"/>
      <protection/>
    </xf>
    <xf numFmtId="0" fontId="47" fillId="0" borderId="40" xfId="113" applyFont="1" applyBorder="1" applyAlignment="1">
      <alignment horizontal="center" vertical="center" wrapText="1"/>
      <protection/>
    </xf>
    <xf numFmtId="0" fontId="51" fillId="0" borderId="0" xfId="113" applyFont="1" applyBorder="1" applyAlignment="1">
      <alignment horizontal="center" vertical="center" wrapText="1"/>
      <protection/>
    </xf>
    <xf numFmtId="0" fontId="38" fillId="0" borderId="17" xfId="113" applyFont="1" applyBorder="1" applyAlignment="1">
      <alignment horizontal="center" vertical="center" wrapText="1"/>
      <protection/>
    </xf>
    <xf numFmtId="0" fontId="14" fillId="0" borderId="18" xfId="113" applyFont="1" applyBorder="1" applyAlignment="1">
      <alignment horizontal="center" vertical="center" wrapText="1"/>
      <protection/>
    </xf>
    <xf numFmtId="0" fontId="38" fillId="0" borderId="41" xfId="113" applyFont="1" applyBorder="1" applyAlignment="1">
      <alignment horizontal="center" vertical="center" wrapText="1"/>
      <protection/>
    </xf>
    <xf numFmtId="0" fontId="45" fillId="0" borderId="42" xfId="113" applyFont="1" applyBorder="1" applyAlignment="1">
      <alignment horizontal="center" vertical="center" wrapText="1"/>
      <protection/>
    </xf>
    <xf numFmtId="0" fontId="45" fillId="0" borderId="20" xfId="113" applyFont="1" applyBorder="1" applyAlignment="1">
      <alignment horizontal="center" vertical="center" wrapText="1"/>
      <protection/>
    </xf>
    <xf numFmtId="0" fontId="48" fillId="0" borderId="43" xfId="113" applyFont="1" applyBorder="1" applyAlignment="1">
      <alignment horizontal="center" vertical="center" wrapText="1"/>
      <protection/>
    </xf>
    <xf numFmtId="0" fontId="48" fillId="0" borderId="13" xfId="113" applyFont="1" applyBorder="1" applyAlignment="1">
      <alignment horizontal="center" vertical="center" wrapText="1"/>
      <protection/>
    </xf>
    <xf numFmtId="0" fontId="52" fillId="0" borderId="13" xfId="113" applyFont="1" applyBorder="1" applyAlignment="1">
      <alignment horizontal="center" vertical="center" wrapText="1"/>
      <protection/>
    </xf>
    <xf numFmtId="0" fontId="47" fillId="0" borderId="44" xfId="113" applyFont="1" applyBorder="1" applyAlignment="1">
      <alignment horizontal="center" vertical="center" wrapText="1"/>
      <protection/>
    </xf>
    <xf numFmtId="0" fontId="47" fillId="0" borderId="45" xfId="113" applyFont="1" applyBorder="1" applyAlignment="1">
      <alignment horizontal="center" vertical="center" wrapText="1"/>
      <protection/>
    </xf>
    <xf numFmtId="0" fontId="51" fillId="0" borderId="46" xfId="113" applyFont="1" applyBorder="1" applyAlignment="1">
      <alignment horizontal="center" vertical="center" wrapText="1"/>
      <protection/>
    </xf>
    <xf numFmtId="0" fontId="42" fillId="0" borderId="47" xfId="113" applyFont="1" applyBorder="1" applyAlignment="1">
      <alignment horizontal="center" vertical="center" wrapText="1"/>
      <protection/>
    </xf>
    <xf numFmtId="0" fontId="42" fillId="0" borderId="48" xfId="113" applyFont="1" applyBorder="1" applyAlignment="1">
      <alignment horizontal="center" vertical="center" wrapText="1"/>
      <protection/>
    </xf>
    <xf numFmtId="0" fontId="49" fillId="0" borderId="49" xfId="113" applyFont="1" applyBorder="1" applyAlignment="1">
      <alignment horizontal="center" vertical="center" wrapText="1"/>
      <protection/>
    </xf>
    <xf numFmtId="0" fontId="42" fillId="0" borderId="50" xfId="113" applyFont="1" applyBorder="1" applyAlignment="1">
      <alignment horizontal="center" vertical="center" wrapText="1"/>
      <protection/>
    </xf>
    <xf numFmtId="0" fontId="42" fillId="0" borderId="51" xfId="113" applyFont="1" applyBorder="1" applyAlignment="1">
      <alignment horizontal="center" vertical="center" wrapText="1"/>
      <protection/>
    </xf>
    <xf numFmtId="0" fontId="49" fillId="0" borderId="52" xfId="113" applyFont="1" applyBorder="1" applyAlignment="1">
      <alignment horizontal="center" vertical="center" wrapText="1"/>
      <protection/>
    </xf>
  </cellXfs>
  <cellStyles count="1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France" xfId="112"/>
    <cellStyle name="Normal_PikettyPostelVinayRosenthal2011AppendixB" xfId="113"/>
    <cellStyle name="Normal_TabAnnexeB" xfId="114"/>
    <cellStyle name="Normal_TabAnnexeH" xfId="115"/>
    <cellStyle name="Normal_TabAnnexeJApr2003" xfId="116"/>
    <cellStyle name="Normal_TablesAppendixB" xfId="117"/>
    <cellStyle name="Normal-blank" xfId="118"/>
    <cellStyle name="Normal-bottom" xfId="119"/>
    <cellStyle name="Normal-center" xfId="120"/>
    <cellStyle name="Normal-droit" xfId="121"/>
    <cellStyle name="normální_Nove vystupy_DOPOCTENE" xfId="122"/>
    <cellStyle name="Normal-top" xfId="123"/>
    <cellStyle name="Note" xfId="124"/>
    <cellStyle name="Output" xfId="125"/>
    <cellStyle name="Percent_ALVAREDO_PIKETTY_May2009sent.xls Chart -1023" xfId="126"/>
    <cellStyle name="Pilkku_Esimerkkejä kaavioista.xls Kaavio 1" xfId="127"/>
    <cellStyle name="Percent" xfId="128"/>
    <cellStyle name="Pourcentage 2" xfId="129"/>
    <cellStyle name="Pourcentage 3" xfId="130"/>
    <cellStyle name="Pourcentage 4" xfId="131"/>
    <cellStyle name="Remarque" xfId="132"/>
    <cellStyle name="Satisfaisant" xfId="133"/>
    <cellStyle name="Sortie" xfId="134"/>
    <cellStyle name="Standard_2 + 3" xfId="135"/>
    <cellStyle name="Style 24" xfId="136"/>
    <cellStyle name="Style 25" xfId="137"/>
    <cellStyle name="style_col_headings" xfId="138"/>
    <cellStyle name="TEXT" xfId="139"/>
    <cellStyle name="Texte explicatif" xfId="140"/>
    <cellStyle name="Title" xfId="141"/>
    <cellStyle name="Titre" xfId="142"/>
    <cellStyle name="Titre 1" xfId="143"/>
    <cellStyle name="Titre 2" xfId="144"/>
    <cellStyle name="Titre 3" xfId="145"/>
    <cellStyle name="Titre 4" xfId="146"/>
    <cellStyle name="Titre " xfId="147"/>
    <cellStyle name="Titre 1" xfId="148"/>
    <cellStyle name="Titre 2" xfId="149"/>
    <cellStyle name="Titre 3" xfId="150"/>
    <cellStyle name="Titre 4" xfId="151"/>
    <cellStyle name="Total" xfId="152"/>
    <cellStyle name="Vérification" xfId="153"/>
    <cellStyle name="Vérification de cellule" xfId="154"/>
    <cellStyle name="Virgule fixe" xfId="155"/>
    <cellStyle name="Warning Text" xfId="156"/>
    <cellStyle name="Wrapped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10.1. L'inégalité des patrimoines en France, 1810-2010 </a:t>
            </a:r>
          </a:p>
        </c:rich>
      </c:tx>
      <c:layout>
        <c:manualLayout>
          <c:xMode val="factor"/>
          <c:yMode val="factor"/>
          <c:x val="0.02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'TS10.1'!$B$6:$B$26</c:f>
              <c:numCache>
                <c:ptCount val="21"/>
                <c:pt idx="0">
                  <c:v>0.79878781686867</c:v>
                </c:pt>
                <c:pt idx="1">
                  <c:v>0.8184428358295537</c:v>
                </c:pt>
                <c:pt idx="2">
                  <c:v>0.8322110340212384</c:v>
                </c:pt>
                <c:pt idx="3">
                  <c:v>0.8041448469317289</c:v>
                </c:pt>
                <c:pt idx="4">
                  <c:v>0.82439427798708</c:v>
                </c:pt>
                <c:pt idx="5">
                  <c:v>0.8371018680124407</c:v>
                </c:pt>
                <c:pt idx="6">
                  <c:v>0.8181164778171098</c:v>
                </c:pt>
                <c:pt idx="7">
                  <c:v>0.8464124025785096</c:v>
                </c:pt>
                <c:pt idx="8">
                  <c:v>0.8474493792550328</c:v>
                </c:pt>
                <c:pt idx="9">
                  <c:v>0.8734180550321077</c:v>
                </c:pt>
                <c:pt idx="10">
                  <c:v>0.8849613304738441</c:v>
                </c:pt>
                <c:pt idx="11">
                  <c:v>0.8165627889330043</c:v>
                </c:pt>
                <c:pt idx="12">
                  <c:v>0.7995862635205542</c:v>
                </c:pt>
                <c:pt idx="13">
                  <c:v>0.757792254497076</c:v>
                </c:pt>
                <c:pt idx="14">
                  <c:v>0.7279647007145639</c:v>
                </c:pt>
                <c:pt idx="15">
                  <c:v>0.6994262587027165</c:v>
                </c:pt>
                <c:pt idx="16">
                  <c:v>0.62</c:v>
                </c:pt>
                <c:pt idx="17">
                  <c:v>0.6184276342339152</c:v>
                </c:pt>
                <c:pt idx="18">
                  <c:v>0.6096215934026862</c:v>
                </c:pt>
                <c:pt idx="19">
                  <c:v>0.621</c:v>
                </c:pt>
                <c:pt idx="20">
                  <c:v>0.624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'TS10.1'!$C$6:$C$26</c:f>
              <c:numCache>
                <c:ptCount val="21"/>
                <c:pt idx="0">
                  <c:v>0.4559315130562488</c:v>
                </c:pt>
                <c:pt idx="1">
                  <c:v>0.46715019008754644</c:v>
                </c:pt>
                <c:pt idx="2">
                  <c:v>0.4750087919603203</c:v>
                </c:pt>
                <c:pt idx="3">
                  <c:v>0.4595514336174318</c:v>
                </c:pt>
                <c:pt idx="4">
                  <c:v>0.5027016952203005</c:v>
                </c:pt>
                <c:pt idx="5">
                  <c:v>0.5199535623840685</c:v>
                </c:pt>
                <c:pt idx="6">
                  <c:v>0.5035582695387667</c:v>
                </c:pt>
                <c:pt idx="7">
                  <c:v>0.4950721877925417</c:v>
                </c:pt>
                <c:pt idx="8">
                  <c:v>0.5114219896273863</c:v>
                </c:pt>
                <c:pt idx="9">
                  <c:v>0.5866712575762003</c:v>
                </c:pt>
                <c:pt idx="10">
                  <c:v>0.6049945196533658</c:v>
                </c:pt>
                <c:pt idx="11">
                  <c:v>0.4923438714201401</c:v>
                </c:pt>
                <c:pt idx="12">
                  <c:v>0.4735136010309913</c:v>
                </c:pt>
                <c:pt idx="13">
                  <c:v>0.3630260303208378</c:v>
                </c:pt>
                <c:pt idx="14">
                  <c:v>0.3340325586128112</c:v>
                </c:pt>
                <c:pt idx="15">
                  <c:v>0.3189640764283639</c:v>
                </c:pt>
                <c:pt idx="16">
                  <c:v>0.22</c:v>
                </c:pt>
                <c:pt idx="17">
                  <c:v>0.22019883455897218</c:v>
                </c:pt>
                <c:pt idx="18">
                  <c:v>0.21706333442803544</c:v>
                </c:pt>
                <c:pt idx="19">
                  <c:v>0.235</c:v>
                </c:pt>
                <c:pt idx="20">
                  <c:v>0.244</c:v>
                </c:pt>
              </c:numCache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(les 10% des patrimoines les plus plus élevés) détenait 80%-90% du patrimoine total dans les années 1810-1910, et 60%-65% aujourd'hui.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At val="0"/>
        <c:auto val="1"/>
        <c:lblOffset val="100"/>
        <c:tickLblSkip val="2"/>
        <c:tickMarkSkip val="2"/>
        <c:noMultiLvlLbl val="0"/>
      </c:catAx>
      <c:valAx>
        <c:axId val="614017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2"/>
          <c:y val="0.56925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10.10. Rendement du capital (après impôts) et taux de croissance au niveau mondial depuis l'Antiquité jusqu'en 2100 </a:t>
            </a:r>
          </a:p>
        </c:rich>
      </c:tx>
      <c:layout>
        <c:manualLayout>
          <c:xMode val="factor"/>
          <c:yMode val="factor"/>
          <c:x val="0.03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97475"/>
          <c:h val="0.81375"/>
        </c:manualLayout>
      </c:layout>
      <c:lineChart>
        <c:grouping val="standard"/>
        <c:varyColors val="0"/>
        <c:ser>
          <c:idx val="0"/>
          <c:order val="0"/>
          <c:tx>
            <c:v>Taux de rendement pur du capital r (après impôts et pertes en capital)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'TS10.3'!$C$7:$C$15</c:f>
              <c:numCache>
                <c:ptCount val="9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0.051</c:v>
                </c:pt>
                <c:pt idx="4">
                  <c:v>0.049970664996807905</c:v>
                </c:pt>
                <c:pt idx="5">
                  <c:v>0.011015943017719812</c:v>
                </c:pt>
                <c:pt idx="6">
                  <c:v>0.03232633810997945</c:v>
                </c:pt>
                <c:pt idx="7">
                  <c:v>0.0387702358064166</c:v>
                </c:pt>
                <c:pt idx="8">
                  <c:v>0.04307803978490733</c:v>
                </c:pt>
              </c:numCache>
            </c:numRef>
          </c:val>
          <c:smooth val="0"/>
        </c:ser>
        <c:ser>
          <c:idx val="1"/>
          <c:order val="1"/>
          <c:tx>
            <c:v>Taux de croissance de la production mondiale 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'TS10.3'!$D$7:$D$15</c:f>
              <c:numCache>
                <c:ptCount val="9"/>
                <c:pt idx="0">
                  <c:v>0.00013546412016229858</c:v>
                </c:pt>
                <c:pt idx="1">
                  <c:v>0.0014200732525344595</c:v>
                </c:pt>
                <c:pt idx="2">
                  <c:v>0.0020241526993365344</c:v>
                </c:pt>
                <c:pt idx="3">
                  <c:v>0.005265518006277503</c:v>
                </c:pt>
                <c:pt idx="4">
                  <c:v>0.014892957051287459</c:v>
                </c:pt>
                <c:pt idx="5">
                  <c:v>0.01806576989668307</c:v>
                </c:pt>
                <c:pt idx="6">
                  <c:v>0.037797118944135955</c:v>
                </c:pt>
                <c:pt idx="7">
                  <c:v>0.032796798231504276</c:v>
                </c:pt>
                <c:pt idx="8">
                  <c:v>0.015321400273953234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(après impôts et pertes en capital) est tombé au dessous du taux de croissance au 20e siècle, et pourrait repasser au dessus au 21e siècle.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 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At val="0"/>
        <c:auto val="1"/>
        <c:lblOffset val="100"/>
        <c:tickLblSkip val="1"/>
        <c:noMultiLvlLbl val="0"/>
      </c:catAx>
      <c:valAx>
        <c:axId val="216139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37725"/>
          <c:w val="0.3837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10.11. Rendement du capital (après impôts) et taux de croissance au niveau mondial depuis l'Antiquité jusqu'en 2200 </a:t>
            </a:r>
          </a:p>
        </c:rich>
      </c:tx>
      <c:layout>
        <c:manualLayout>
          <c:xMode val="factor"/>
          <c:yMode val="factor"/>
          <c:x val="0.03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97475"/>
          <c:h val="0.81375"/>
        </c:manualLayout>
      </c:layout>
      <c:lineChart>
        <c:grouping val="standard"/>
        <c:varyColors val="0"/>
        <c:ser>
          <c:idx val="0"/>
          <c:order val="0"/>
          <c:tx>
            <c:v>Taux de rendement pur du capital r (après impôts et pertes en capital)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'TS10.3'!$F$7:$F$14</c:f>
              <c:strCache>
                <c:ptCount val="8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1913-2012</c:v>
                </c:pt>
                <c:pt idx="6">
                  <c:v>2012-2100</c:v>
                </c:pt>
                <c:pt idx="7">
                  <c:v>2100-2200</c:v>
                </c:pt>
              </c:strCache>
            </c:strRef>
          </c:cat>
          <c:val>
            <c:numRef>
              <c:f>'TS10.3'!$H$7:$H$14</c:f>
              <c:numCache>
                <c:ptCount val="8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0.051</c:v>
                </c:pt>
                <c:pt idx="4">
                  <c:v>0.049970664996807905</c:v>
                </c:pt>
                <c:pt idx="5">
                  <c:v>0.024309780552706606</c:v>
                </c:pt>
                <c:pt idx="6">
                  <c:v>0.041215664483825964</c:v>
                </c:pt>
                <c:pt idx="7">
                  <c:v>0.04307803978490733</c:v>
                </c:pt>
              </c:numCache>
            </c:numRef>
          </c:val>
          <c:smooth val="0"/>
        </c:ser>
        <c:ser>
          <c:idx val="1"/>
          <c:order val="1"/>
          <c:tx>
            <c:v>Taux de croissance de la production mondiale 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'TS10.3'!$F$7:$F$14</c:f>
              <c:strCache>
                <c:ptCount val="8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1913-2012</c:v>
                </c:pt>
                <c:pt idx="6">
                  <c:v>2012-2100</c:v>
                </c:pt>
                <c:pt idx="7">
                  <c:v>2100-2200</c:v>
                </c:pt>
              </c:strCache>
            </c:strRef>
          </c:cat>
          <c:val>
            <c:numRef>
              <c:f>'TS10.3'!$I$7:$I$14</c:f>
              <c:numCache>
                <c:ptCount val="8"/>
                <c:pt idx="0">
                  <c:v>0.00013546412016229858</c:v>
                </c:pt>
                <c:pt idx="1">
                  <c:v>0.0014200732525344595</c:v>
                </c:pt>
                <c:pt idx="2">
                  <c:v>0.0020241526993365344</c:v>
                </c:pt>
                <c:pt idx="3">
                  <c:v>0.005265518006277503</c:v>
                </c:pt>
                <c:pt idx="4">
                  <c:v>0.014892957051287459</c:v>
                </c:pt>
                <c:pt idx="5">
                  <c:v>0.030378415161677053</c:v>
                </c:pt>
                <c:pt idx="6">
                  <c:v>0.022831024685656676</c:v>
                </c:pt>
                <c:pt idx="7">
                  <c:v>0.015321400273953234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(après impôts et pertes en capital) est tombé au dessous du taux de croissance au 20e siècle, et pourrait repasser au dessus au 21e siècle.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7269"/>
        <c:crossesAt val="0"/>
        <c:auto val="1"/>
        <c:lblOffset val="100"/>
        <c:tickLblSkip val="1"/>
        <c:noMultiLvlLbl val="0"/>
      </c:catAx>
      <c:valAx>
        <c:axId val="17507269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37725"/>
          <c:w val="0.3837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10.2. L'inégalité des patrimoines: Paris vs. France, 1810-2010 </a:t>
            </a:r>
          </a:p>
        </c:rich>
      </c:tx>
      <c:layout>
        <c:manualLayout>
          <c:xMode val="factor"/>
          <c:yMode val="factor"/>
          <c:x val="0.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centile supérieur (Paris)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'TS10.1'!$E$6:$E$26</c:f>
              <c:numCache>
                <c:ptCount val="21"/>
                <c:pt idx="0">
                  <c:v>0.5373679950186799</c:v>
                </c:pt>
                <c:pt idx="1">
                  <c:v>0.5901245754076087</c:v>
                </c:pt>
                <c:pt idx="2">
                  <c:v>0.5196642951687624</c:v>
                </c:pt>
                <c:pt idx="3">
                  <c:v>0.5255458616429896</c:v>
                </c:pt>
                <c:pt idx="4">
                  <c:v>0.5857911314514268</c:v>
                </c:pt>
                <c:pt idx="5">
                  <c:v>0.5511359768939167</c:v>
                </c:pt>
                <c:pt idx="6">
                  <c:v>0.556762917128136</c:v>
                </c:pt>
                <c:pt idx="7">
                  <c:v>0.6187150968371187</c:v>
                </c:pt>
                <c:pt idx="8">
                  <c:v>0.5815229132310035</c:v>
                </c:pt>
                <c:pt idx="9">
                  <c:v>0.6607169988551971</c:v>
                </c:pt>
                <c:pt idx="10">
                  <c:v>0.7072090458420042</c:v>
                </c:pt>
                <c:pt idx="11">
                  <c:v>0.6003279456437062</c:v>
                </c:pt>
                <c:pt idx="12">
                  <c:v>0.5476320631844506</c:v>
                </c:pt>
                <c:pt idx="13">
                  <c:v>0.5241158672001635</c:v>
                </c:pt>
                <c:pt idx="14">
                  <c:v>0.3885572601753055</c:v>
                </c:pt>
                <c:pt idx="15">
                  <c:v>0.35285395430221905</c:v>
                </c:pt>
                <c:pt idx="16">
                  <c:v>0.255</c:v>
                </c:pt>
                <c:pt idx="17">
                  <c:v>0.25</c:v>
                </c:pt>
                <c:pt idx="18">
                  <c:v>0.24157756873433928</c:v>
                </c:pt>
                <c:pt idx="19">
                  <c:v>0.2615399270547525</c:v>
                </c:pt>
                <c:pt idx="20">
                  <c:v>0.2715563497930196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 (France)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'TS10.1'!$C$6:$C$26</c:f>
              <c:numCache>
                <c:ptCount val="21"/>
                <c:pt idx="0">
                  <c:v>0.4559315130562488</c:v>
                </c:pt>
                <c:pt idx="1">
                  <c:v>0.46715019008754644</c:v>
                </c:pt>
                <c:pt idx="2">
                  <c:v>0.4750087919603203</c:v>
                </c:pt>
                <c:pt idx="3">
                  <c:v>0.4595514336174318</c:v>
                </c:pt>
                <c:pt idx="4">
                  <c:v>0.5027016952203005</c:v>
                </c:pt>
                <c:pt idx="5">
                  <c:v>0.5199535623840685</c:v>
                </c:pt>
                <c:pt idx="6">
                  <c:v>0.5035582695387667</c:v>
                </c:pt>
                <c:pt idx="7">
                  <c:v>0.4950721877925417</c:v>
                </c:pt>
                <c:pt idx="8">
                  <c:v>0.5114219896273863</c:v>
                </c:pt>
                <c:pt idx="9">
                  <c:v>0.5866712575762003</c:v>
                </c:pt>
                <c:pt idx="10">
                  <c:v>0.6049945196533658</c:v>
                </c:pt>
                <c:pt idx="11">
                  <c:v>0.4923438714201401</c:v>
                </c:pt>
                <c:pt idx="12">
                  <c:v>0.4735136010309913</c:v>
                </c:pt>
                <c:pt idx="13">
                  <c:v>0.3630260303208378</c:v>
                </c:pt>
                <c:pt idx="14">
                  <c:v>0.3340325586128112</c:v>
                </c:pt>
                <c:pt idx="15">
                  <c:v>0.3189640764283639</c:v>
                </c:pt>
                <c:pt idx="16">
                  <c:v>0.22</c:v>
                </c:pt>
                <c:pt idx="17">
                  <c:v>0.22019883455897218</c:v>
                </c:pt>
                <c:pt idx="18">
                  <c:v>0.21706333442803544</c:v>
                </c:pt>
                <c:pt idx="19">
                  <c:v>0.235</c:v>
                </c:pt>
                <c:pt idx="20">
                  <c:v>0.244</c:v>
                </c:pt>
              </c:numCache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centile supérieur (les 1% des patrimoines les plus plus élevés) détient 70% du patrimoine total à Paris à la veille de la Première guerre mondiale.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At val="0"/>
        <c:auto val="1"/>
        <c:lblOffset val="100"/>
        <c:tickLblSkip val="2"/>
        <c:tickMarkSkip val="2"/>
        <c:noMultiLvlLbl val="0"/>
      </c:catAx>
      <c:valAx>
        <c:axId val="748671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5205"/>
          <c:w val="0.337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10.3. L'inégalité des patrimoines au Royaume-Uni, 1810-2010 </a:t>
            </a:r>
          </a:p>
        </c:rich>
      </c:tx>
      <c:layout>
        <c:manualLayout>
          <c:xMode val="factor"/>
          <c:yMode val="factor"/>
          <c:x val="0.06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'TS10.1'!$F$6:$F$26</c:f>
              <c:numCache>
                <c:ptCount val="21"/>
                <c:pt idx="0">
                  <c:v>0.8290000000000001</c:v>
                </c:pt>
                <c:pt idx="6">
                  <c:v>0.871</c:v>
                </c:pt>
                <c:pt idx="10">
                  <c:v>0.92</c:v>
                </c:pt>
                <c:pt idx="11">
                  <c:v>0.89</c:v>
                </c:pt>
                <c:pt idx="12">
                  <c:v>0.85</c:v>
                </c:pt>
                <c:pt idx="14">
                  <c:v>0.76</c:v>
                </c:pt>
                <c:pt idx="15">
                  <c:v>0.715</c:v>
                </c:pt>
                <c:pt idx="16">
                  <c:v>0.641</c:v>
                </c:pt>
                <c:pt idx="17">
                  <c:v>0.626</c:v>
                </c:pt>
                <c:pt idx="18">
                  <c:v>0.64</c:v>
                </c:pt>
                <c:pt idx="19">
                  <c:v>0.685</c:v>
                </c:pt>
                <c:pt idx="20">
                  <c:v>0.705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'TS10.1'!$G$6:$G$26</c:f>
              <c:numCache>
                <c:ptCount val="21"/>
                <c:pt idx="0">
                  <c:v>0.549</c:v>
                </c:pt>
                <c:pt idx="6">
                  <c:v>0.611</c:v>
                </c:pt>
                <c:pt idx="10">
                  <c:v>0.69</c:v>
                </c:pt>
                <c:pt idx="11">
                  <c:v>0.61</c:v>
                </c:pt>
                <c:pt idx="12">
                  <c:v>0.55</c:v>
                </c:pt>
                <c:pt idx="14">
                  <c:v>0.472</c:v>
                </c:pt>
                <c:pt idx="15">
                  <c:v>0.339</c:v>
                </c:pt>
                <c:pt idx="16">
                  <c:v>0.226</c:v>
                </c:pt>
                <c:pt idx="17">
                  <c:v>0.227</c:v>
                </c:pt>
                <c:pt idx="18">
                  <c:v>0.24</c:v>
                </c:pt>
                <c:pt idx="19">
                  <c:v>0.27</c:v>
                </c:pt>
                <c:pt idx="20">
                  <c:v>0.28</c:v>
                </c:pt>
              </c:numCache>
            </c:numRef>
          </c:val>
          <c:smooth val="0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détenait 80%-90% du patrimoine total dans les années 1810-1910, et 70% aujourd'hui.    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149"/>
        <c:crossesAt val="0"/>
        <c:auto val="1"/>
        <c:lblOffset val="100"/>
        <c:tickLblSkip val="2"/>
        <c:tickMarkSkip val="2"/>
        <c:noMultiLvlLbl val="0"/>
      </c:catAx>
      <c:valAx>
        <c:axId val="24441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523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10.4. L'inégalité des patrimoines en Suède, 1810-2010 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'TS10.1'!$L$6:$L$26</c:f>
              <c:numCache>
                <c:ptCount val="21"/>
                <c:pt idx="0">
                  <c:v>0.8390000000000001</c:v>
                </c:pt>
                <c:pt idx="6">
                  <c:v>0.87165</c:v>
                </c:pt>
                <c:pt idx="10">
                  <c:v>0.8815</c:v>
                </c:pt>
                <c:pt idx="11">
                  <c:v>0.8769</c:v>
                </c:pt>
                <c:pt idx="12">
                  <c:v>0.8355</c:v>
                </c:pt>
                <c:pt idx="13">
                  <c:v>0.8317</c:v>
                </c:pt>
                <c:pt idx="14">
                  <c:v>0.7729</c:v>
                </c:pt>
                <c:pt idx="15">
                  <c:v>0.6323</c:v>
                </c:pt>
                <c:pt idx="16">
                  <c:v>0.547</c:v>
                </c:pt>
                <c:pt idx="17">
                  <c:v>0.534</c:v>
                </c:pt>
                <c:pt idx="18">
                  <c:v>0.577</c:v>
                </c:pt>
                <c:pt idx="19">
                  <c:v>0.5781</c:v>
                </c:pt>
                <c:pt idx="20">
                  <c:v>0.5877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'TS10.1'!$M$6:$M$26</c:f>
              <c:numCache>
                <c:ptCount val="21"/>
                <c:pt idx="0">
                  <c:v>0.559</c:v>
                </c:pt>
                <c:pt idx="6">
                  <c:v>0.57265</c:v>
                </c:pt>
                <c:pt idx="10">
                  <c:v>0.611</c:v>
                </c:pt>
                <c:pt idx="11">
                  <c:v>0.5379</c:v>
                </c:pt>
                <c:pt idx="12">
                  <c:v>0.4277</c:v>
                </c:pt>
                <c:pt idx="13">
                  <c:v>0.3769</c:v>
                </c:pt>
                <c:pt idx="14">
                  <c:v>0.3281</c:v>
                </c:pt>
                <c:pt idx="15">
                  <c:v>0.2341</c:v>
                </c:pt>
                <c:pt idx="16">
                  <c:v>0.177</c:v>
                </c:pt>
                <c:pt idx="17">
                  <c:v>0.165</c:v>
                </c:pt>
                <c:pt idx="18">
                  <c:v>0.195</c:v>
                </c:pt>
                <c:pt idx="19">
                  <c:v>0.2048</c:v>
                </c:pt>
                <c:pt idx="20">
                  <c:v>0.2071</c:v>
                </c:pt>
              </c:numCache>
            </c:numRef>
          </c:val>
          <c:smooth val="0"/>
        </c:ser>
        <c:marker val="1"/>
        <c:axId val="21997342"/>
        <c:axId val="63758351"/>
      </c:lineChart>
      <c:cat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détenait 80%-90% du patrimoine total dans les années 1810-1910, et à 55%-60% aujourd'hui.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At val="0"/>
        <c:auto val="1"/>
        <c:lblOffset val="100"/>
        <c:tickLblSkip val="2"/>
        <c:tickMarkSkip val="2"/>
        <c:noMultiLvlLbl val="0"/>
      </c:catAx>
      <c:valAx>
        <c:axId val="637583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523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10.5. L'inégalité des patrimoines aux Etats-Unis, 1810-2010 </a:t>
            </a:r>
          </a:p>
        </c:rich>
      </c:tx>
      <c:layout>
        <c:manualLayout>
          <c:xMode val="factor"/>
          <c:yMode val="factor"/>
          <c:x val="0.05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'TS10.1'!$I$6:$I$26</c:f>
              <c:numCache>
                <c:ptCount val="21"/>
                <c:pt idx="0">
                  <c:v>0.58</c:v>
                </c:pt>
                <c:pt idx="6">
                  <c:v>0.71</c:v>
                </c:pt>
                <c:pt idx="10">
                  <c:v>0.8112975136905877</c:v>
                </c:pt>
                <c:pt idx="11">
                  <c:v>0.7972690161336922</c:v>
                </c:pt>
                <c:pt idx="12">
                  <c:v>0.7340596342126322</c:v>
                </c:pt>
                <c:pt idx="13">
                  <c:v>0.66389486443707</c:v>
                </c:pt>
                <c:pt idx="14">
                  <c:v>0.6566553523728667</c:v>
                </c:pt>
                <c:pt idx="15">
                  <c:v>0.67</c:v>
                </c:pt>
                <c:pt idx="16">
                  <c:v>0.6418200113736071</c:v>
                </c:pt>
                <c:pt idx="17">
                  <c:v>0.672</c:v>
                </c:pt>
                <c:pt idx="18">
                  <c:v>0.6869999999999998</c:v>
                </c:pt>
                <c:pt idx="19">
                  <c:v>0.6965</c:v>
                </c:pt>
                <c:pt idx="20">
                  <c:v>0.715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'TS10.1'!$J$6:$J$26</c:f>
              <c:numCache>
                <c:ptCount val="21"/>
                <c:pt idx="0">
                  <c:v>0.25</c:v>
                </c:pt>
                <c:pt idx="6">
                  <c:v>0.32</c:v>
                </c:pt>
                <c:pt idx="10">
                  <c:v>0.45129751369058757</c:v>
                </c:pt>
                <c:pt idx="11">
                  <c:v>0.4372690161336923</c:v>
                </c:pt>
                <c:pt idx="12">
                  <c:v>0.3740596342126322</c:v>
                </c:pt>
                <c:pt idx="13">
                  <c:v>0.30389486443707</c:v>
                </c:pt>
                <c:pt idx="14">
                  <c:v>0.2966553523728666</c:v>
                </c:pt>
                <c:pt idx="15">
                  <c:v>0.314</c:v>
                </c:pt>
                <c:pt idx="16">
                  <c:v>0.2818200113736071</c:v>
                </c:pt>
                <c:pt idx="17">
                  <c:v>0.301</c:v>
                </c:pt>
                <c:pt idx="18">
                  <c:v>0.32899999999999996</c:v>
                </c:pt>
                <c:pt idx="19">
                  <c:v>0.33049999999999996</c:v>
                </c:pt>
                <c:pt idx="20">
                  <c:v>0.33799999999999997</c:v>
                </c:pt>
              </c:numCache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détenait environ 80% du patrimoine total dans les années 1910, et 70%-75% aujourd'hui.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At val="0"/>
        <c:auto val="1"/>
        <c:lblOffset val="100"/>
        <c:tickLblSkip val="2"/>
        <c:tickMarkSkip val="2"/>
        <c:noMultiLvlLbl val="0"/>
      </c:catAx>
      <c:valAx>
        <c:axId val="641527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64125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10.6. L'inégalité patrimoniale: Europe et Etats-Unis 1810-2010 </a:t>
            </a:r>
          </a:p>
        </c:rich>
      </c:tx>
      <c:layout>
        <c:manualLayout>
          <c:xMode val="factor"/>
          <c:yMode val="factor"/>
          <c:x val="0.06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supérieur: Europe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'TS10.1'!$O$6:$O$26</c:f>
              <c:numCache>
                <c:ptCount val="21"/>
                <c:pt idx="0">
                  <c:v>0.82226260562289</c:v>
                </c:pt>
                <c:pt idx="6">
                  <c:v>0.8535888259390365</c:v>
                </c:pt>
                <c:pt idx="10">
                  <c:v>0.8954871101579481</c:v>
                </c:pt>
                <c:pt idx="11">
                  <c:v>0.8611542629776681</c:v>
                </c:pt>
                <c:pt idx="12">
                  <c:v>0.8283620878401847</c:v>
                </c:pt>
                <c:pt idx="14">
                  <c:v>0.7536215669048546</c:v>
                </c:pt>
                <c:pt idx="15">
                  <c:v>0.6822420862342388</c:v>
                </c:pt>
                <c:pt idx="16">
                  <c:v>0.6026666666666668</c:v>
                </c:pt>
                <c:pt idx="17">
                  <c:v>0.592809211411305</c:v>
                </c:pt>
                <c:pt idx="18">
                  <c:v>0.6088738644675621</c:v>
                </c:pt>
                <c:pt idx="19">
                  <c:v>0.6280333333333333</c:v>
                </c:pt>
                <c:pt idx="20">
                  <c:v>0.6389</c:v>
                </c:pt>
              </c:numCache>
            </c:numRef>
          </c:val>
          <c:smooth val="0"/>
        </c:ser>
        <c:ser>
          <c:idx val="0"/>
          <c:order val="1"/>
          <c:tx>
            <c:v>Part du décile supérieur: Etats-Unis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'TS10.1'!$I$6:$I$26</c:f>
              <c:numCache>
                <c:ptCount val="21"/>
                <c:pt idx="0">
                  <c:v>0.58</c:v>
                </c:pt>
                <c:pt idx="6">
                  <c:v>0.71</c:v>
                </c:pt>
                <c:pt idx="10">
                  <c:v>0.8112975136905877</c:v>
                </c:pt>
                <c:pt idx="11">
                  <c:v>0.7972690161336922</c:v>
                </c:pt>
                <c:pt idx="12">
                  <c:v>0.7340596342126322</c:v>
                </c:pt>
                <c:pt idx="13">
                  <c:v>0.66389486443707</c:v>
                </c:pt>
                <c:pt idx="14">
                  <c:v>0.6566553523728667</c:v>
                </c:pt>
                <c:pt idx="15">
                  <c:v>0.67</c:v>
                </c:pt>
                <c:pt idx="16">
                  <c:v>0.6418200113736071</c:v>
                </c:pt>
                <c:pt idx="17">
                  <c:v>0.672</c:v>
                </c:pt>
                <c:pt idx="18">
                  <c:v>0.6869999999999998</c:v>
                </c:pt>
                <c:pt idx="19">
                  <c:v>0.6965</c:v>
                </c:pt>
                <c:pt idx="20">
                  <c:v>0.715</c:v>
                </c:pt>
              </c:numCache>
            </c:numRef>
          </c:val>
          <c:smooth val="0"/>
        </c:ser>
        <c:ser>
          <c:idx val="1"/>
          <c:order val="2"/>
          <c:tx>
            <c:v>Part du centile supérieur: 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'TS10.1'!$P$6:$P$26</c:f>
              <c:numCache>
                <c:ptCount val="21"/>
                <c:pt idx="0">
                  <c:v>0.5213105043520829</c:v>
                </c:pt>
                <c:pt idx="6">
                  <c:v>0.5624027565129222</c:v>
                </c:pt>
                <c:pt idx="10">
                  <c:v>0.6353315065511219</c:v>
                </c:pt>
                <c:pt idx="11">
                  <c:v>0.5467479571400468</c:v>
                </c:pt>
                <c:pt idx="12">
                  <c:v>0.48373786701033045</c:v>
                </c:pt>
                <c:pt idx="14">
                  <c:v>0.37804418620427044</c:v>
                </c:pt>
                <c:pt idx="15">
                  <c:v>0.2973546921427879</c:v>
                </c:pt>
                <c:pt idx="16">
                  <c:v>0.20766666666666667</c:v>
                </c:pt>
                <c:pt idx="17">
                  <c:v>0.20406627818632406</c:v>
                </c:pt>
                <c:pt idx="18">
                  <c:v>0.21735444480934515</c:v>
                </c:pt>
                <c:pt idx="19">
                  <c:v>0.2366</c:v>
                </c:pt>
                <c:pt idx="20">
                  <c:v>0.24370000000000003</c:v>
                </c:pt>
              </c:numCache>
            </c:numRef>
          </c:val>
          <c:smooth val="0"/>
        </c:ser>
        <c:ser>
          <c:idx val="3"/>
          <c:order val="3"/>
          <c:tx>
            <c:v>Part du centile supérieur: Etats-Unis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'TS10.1'!$J$6:$J$26</c:f>
              <c:numCache>
                <c:ptCount val="21"/>
                <c:pt idx="0">
                  <c:v>0.25</c:v>
                </c:pt>
                <c:pt idx="6">
                  <c:v>0.32</c:v>
                </c:pt>
                <c:pt idx="10">
                  <c:v>0.45129751369058757</c:v>
                </c:pt>
                <c:pt idx="11">
                  <c:v>0.4372690161336923</c:v>
                </c:pt>
                <c:pt idx="12">
                  <c:v>0.3740596342126322</c:v>
                </c:pt>
                <c:pt idx="13">
                  <c:v>0.30389486443707</c:v>
                </c:pt>
                <c:pt idx="14">
                  <c:v>0.2966553523728666</c:v>
                </c:pt>
                <c:pt idx="15">
                  <c:v>0.314</c:v>
                </c:pt>
                <c:pt idx="16">
                  <c:v>0.2818200113736071</c:v>
                </c:pt>
                <c:pt idx="17">
                  <c:v>0.301</c:v>
                </c:pt>
                <c:pt idx="18">
                  <c:v>0.32899999999999996</c:v>
                </c:pt>
                <c:pt idx="19">
                  <c:v>0.33049999999999996</c:v>
                </c:pt>
                <c:pt idx="20">
                  <c:v>0.33799999999999997</c:v>
                </c:pt>
              </c:numCache>
            </c:numRef>
          </c:val>
          <c:smooth val="0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jusqu'au milieu du 20e siècle, les inégalités patrimoniales étaient plus fortes en Europe qu'aux Etats-Unis.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419"/>
        <c:crossesAt val="0"/>
        <c:auto val="1"/>
        <c:lblOffset val="100"/>
        <c:tickLblSkip val="2"/>
        <c:tickMarkSkip val="2"/>
        <c:noMultiLvlLbl val="0"/>
      </c:catAx>
      <c:valAx>
        <c:axId val="289924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082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025"/>
          <c:y val="0.6535"/>
          <c:w val="0.373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10.7. Rendement du capital et croissance: France 1820-1913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875"/>
          <c:w val="0.94975"/>
          <c:h val="0.85475"/>
        </c:manualLayout>
      </c:layout>
      <c:lineChart>
        <c:grouping val="standard"/>
        <c:varyColors val="0"/>
        <c:ser>
          <c:idx val="0"/>
          <c:order val="0"/>
          <c:tx>
            <c:v>Taux de rendement pur du capital 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'TS10.2'!$D$10:$D$19</c:f>
              <c:numCache>
                <c:ptCount val="10"/>
                <c:pt idx="0">
                  <c:v>0.04834817999120861</c:v>
                </c:pt>
                <c:pt idx="1">
                  <c:v>0.05196422183162336</c:v>
                </c:pt>
                <c:pt idx="2">
                  <c:v>0.056878191068281674</c:v>
                </c:pt>
                <c:pt idx="3">
                  <c:v>0.06506049713048698</c:v>
                </c:pt>
                <c:pt idx="4">
                  <c:v>0.0603048099537396</c:v>
                </c:pt>
                <c:pt idx="5">
                  <c:v>0.057767210530884176</c:v>
                </c:pt>
                <c:pt idx="6">
                  <c:v>0.04038459788871219</c:v>
                </c:pt>
                <c:pt idx="7">
                  <c:v>0.03598181662802763</c:v>
                </c:pt>
                <c:pt idx="8">
                  <c:v>0.03723747180401329</c:v>
                </c:pt>
                <c:pt idx="9">
                  <c:v>0.04577965314110154</c:v>
                </c:pt>
              </c:numCache>
            </c:numRef>
          </c:val>
          <c:smooth val="0"/>
        </c:ser>
        <c:ser>
          <c:idx val="1"/>
          <c:order val="1"/>
          <c:tx>
            <c:v>Taux de croissance du revenu national 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'TS10.2'!$F$10:$F$19</c:f>
              <c:numCache>
                <c:ptCount val="10"/>
                <c:pt idx="0">
                  <c:v>0.01170367844643172</c:v>
                </c:pt>
                <c:pt idx="1">
                  <c:v>0.009703678446431718</c:v>
                </c:pt>
                <c:pt idx="2">
                  <c:v>0.01769143554203345</c:v>
                </c:pt>
                <c:pt idx="3">
                  <c:v>0.018281389002988035</c:v>
                </c:pt>
                <c:pt idx="4">
                  <c:v>0.009419872777271854</c:v>
                </c:pt>
                <c:pt idx="5">
                  <c:v>0.001861218814525832</c:v>
                </c:pt>
                <c:pt idx="6">
                  <c:v>0.001139521669550112</c:v>
                </c:pt>
                <c:pt idx="7">
                  <c:v>0.013934737692663735</c:v>
                </c:pt>
                <c:pt idx="8">
                  <c:v>0.010993689968294529</c:v>
                </c:pt>
                <c:pt idx="9">
                  <c:v>0.005758404391572602</c:v>
                </c:pt>
              </c:numCache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est nettement plus élevé que le taux de croisance en France de 1820 à 1913.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573"/>
        <c:crossesAt val="0"/>
        <c:auto val="1"/>
        <c:lblOffset val="100"/>
        <c:tickLblSkip val="1"/>
        <c:noMultiLvlLbl val="0"/>
      </c:catAx>
      <c:valAx>
        <c:axId val="66684573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5180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6775"/>
          <c:w val="0.4295"/>
          <c:h val="0.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10.8. Part du capital et taux d'épargne: France 1820-1913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675"/>
          <c:w val="0.948"/>
          <c:h val="0.844"/>
        </c:manualLayout>
      </c:layout>
      <c:lineChart>
        <c:grouping val="standard"/>
        <c:varyColors val="0"/>
        <c:ser>
          <c:idx val="0"/>
          <c:order val="0"/>
          <c:tx>
            <c:v>Part du capital α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'TS10.2'!$C$10:$C$19</c:f>
              <c:numCache>
                <c:ptCount val="1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0.44261277397857324</c:v>
                </c:pt>
                <c:pt idx="4">
                  <c:v>0.4436614297481517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</c:numCache>
            </c:numRef>
          </c:val>
          <c:smooth val="0"/>
        </c:ser>
        <c:ser>
          <c:idx val="1"/>
          <c:order val="1"/>
          <c:tx>
            <c:v>Taux d'épargne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'TS10.2'!$B$10:$B$19</c:f>
              <c:numCache>
                <c:ptCount val="10"/>
                <c:pt idx="0">
                  <c:v>0.0805555555555556</c:v>
                </c:pt>
                <c:pt idx="1">
                  <c:v>0.08185567010309279</c:v>
                </c:pt>
                <c:pt idx="2">
                  <c:v>0.09550847457627118</c:v>
                </c:pt>
                <c:pt idx="3">
                  <c:v>0.10119047619047619</c:v>
                </c:pt>
                <c:pt idx="4">
                  <c:v>0.0929946524064171</c:v>
                </c:pt>
                <c:pt idx="5">
                  <c:v>0.07752427184466018</c:v>
                </c:pt>
                <c:pt idx="6">
                  <c:v>0.09047738693467337</c:v>
                </c:pt>
                <c:pt idx="7">
                  <c:v>0.10009174311926607</c:v>
                </c:pt>
                <c:pt idx="8">
                  <c:v>0.07080724816053549</c:v>
                </c:pt>
                <c:pt idx="9">
                  <c:v>0.08269682348522722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des revenus du capital dans le revenu national est nettement plus élevé que le taux d'épargne en France de 1820 à 1913.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41303"/>
        <c:crossesAt val="0"/>
        <c:auto val="1"/>
        <c:lblOffset val="100"/>
        <c:tickLblSkip val="1"/>
        <c:noMultiLvlLbl val="0"/>
      </c:catAx>
      <c:valAx>
        <c:axId val="32741303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capital ou taux d'épargne (% du revenu national)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0246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2"/>
          <c:y val="0.41125"/>
          <c:w val="0.256"/>
          <c:h val="0.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10.9. Rendement du capital et taux de croissance au niveau mondial depuis l'Antiquité jusqu'en 2100 </a:t>
            </a:r>
          </a:p>
        </c:rich>
      </c:tx>
      <c:layout>
        <c:manualLayout>
          <c:xMode val="factor"/>
          <c:yMode val="factor"/>
          <c:x val="0.02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97475"/>
          <c:h val="0.814"/>
        </c:manualLayout>
      </c:layout>
      <c:lineChart>
        <c:grouping val="standard"/>
        <c:varyColors val="0"/>
        <c:ser>
          <c:idx val="0"/>
          <c:order val="0"/>
          <c:tx>
            <c:v>Taux de rendement pur du capital r (avant impôts)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'TS10.3'!$B$7:$B$15</c:f>
              <c:numCache>
                <c:ptCount val="9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0.051</c:v>
                </c:pt>
                <c:pt idx="4">
                  <c:v>0.049970664996807905</c:v>
                </c:pt>
                <c:pt idx="5">
                  <c:v>0.051451347168171166</c:v>
                </c:pt>
                <c:pt idx="6">
                  <c:v>0.05332334015711351</c:v>
                </c:pt>
                <c:pt idx="7">
                  <c:v>0.04307803978490733</c:v>
                </c:pt>
                <c:pt idx="8">
                  <c:v>0.04307803978490733</c:v>
                </c:pt>
              </c:numCache>
            </c:numRef>
          </c:val>
          <c:smooth val="0"/>
        </c:ser>
        <c:ser>
          <c:idx val="1"/>
          <c:order val="1"/>
          <c:tx>
            <c:v>Taux de croissance de la production mondiale 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'TS10.3'!$D$7:$D$15</c:f>
              <c:numCache>
                <c:ptCount val="9"/>
                <c:pt idx="0">
                  <c:v>0.00013546412016229858</c:v>
                </c:pt>
                <c:pt idx="1">
                  <c:v>0.0014200732525344595</c:v>
                </c:pt>
                <c:pt idx="2">
                  <c:v>0.0020241526993365344</c:v>
                </c:pt>
                <c:pt idx="3">
                  <c:v>0.005265518006277503</c:v>
                </c:pt>
                <c:pt idx="4">
                  <c:v>0.014892957051287459</c:v>
                </c:pt>
                <c:pt idx="5">
                  <c:v>0.01806576989668307</c:v>
                </c:pt>
                <c:pt idx="6">
                  <c:v>0.037797118944135955</c:v>
                </c:pt>
                <c:pt idx="7">
                  <c:v>0.032796798231504276</c:v>
                </c:pt>
                <c:pt idx="8">
                  <c:v>0.015321400273953234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(avant impôts) a toujours été supérieur au taux de croissance mondial, mais l'écart s'est resseré au 20e siècle, et pourrait s'élargir de nouveau au 21e siècle.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séries:voir piketty.pse.ens.fr/capital21c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9857"/>
        <c:crossesAt val="0"/>
        <c:auto val="1"/>
        <c:lblOffset val="100"/>
        <c:tickLblSkip val="1"/>
        <c:noMultiLvlLbl val="0"/>
      </c:catAx>
      <c:valAx>
        <c:axId val="34799857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6272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37725"/>
          <c:w val="0.3837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DemoData\OldComputations1900205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EstateTaxData\VariousDMTGComputations\AggregateEstateTaxSeri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DemoData\OldComputations190020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December2009\AppendixEstateTaxData\VariousDMTGComputations\AggregateEstateTaxSeri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December2009\AppendixDemoData\OldComputations1900205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April2010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//nowa.nuff.ox.ac.uk/senate%20poverty%20response\pov%20response\minimum%20wage.xls\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4" sqref="A4:J25"/>
    </sheetView>
  </sheetViews>
  <sheetFormatPr defaultColWidth="10.8515625" defaultRowHeight="12.75"/>
  <cols>
    <col min="1" max="10" width="12.7109375" style="77" customWidth="1"/>
    <col min="11" max="17" width="5.8515625" style="77" customWidth="1"/>
    <col min="18" max="21" width="8.28125" style="77" customWidth="1"/>
    <col min="22" max="25" width="13.28125" style="77" customWidth="1"/>
    <col min="26" max="16384" width="10.8515625" style="77" customWidth="1"/>
  </cols>
  <sheetData>
    <row r="1" spans="1:10" ht="15">
      <c r="A1" s="75"/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5" thickBo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30" customHeight="1" thickBot="1" thickTop="1">
      <c r="A4" s="149" t="s">
        <v>103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2" ht="18" customHeight="1" thickBot="1" thickTop="1">
      <c r="A5" s="114"/>
      <c r="B5" s="152"/>
      <c r="C5" s="152"/>
      <c r="D5" s="152"/>
      <c r="E5" s="152"/>
      <c r="F5" s="152"/>
      <c r="G5" s="152"/>
      <c r="H5" s="152"/>
      <c r="I5" s="152"/>
      <c r="J5" s="153"/>
      <c r="K5" s="79"/>
      <c r="L5" s="79"/>
    </row>
    <row r="6" spans="1:17" ht="18" customHeight="1" thickTop="1">
      <c r="A6" s="154"/>
      <c r="B6" s="157" t="s">
        <v>100</v>
      </c>
      <c r="C6" s="186" t="s">
        <v>101</v>
      </c>
      <c r="D6" s="146" t="s">
        <v>102</v>
      </c>
      <c r="E6" s="160" t="s">
        <v>104</v>
      </c>
      <c r="F6" s="163" t="s">
        <v>105</v>
      </c>
      <c r="G6" s="174" t="s">
        <v>108</v>
      </c>
      <c r="H6" s="180" t="s">
        <v>107</v>
      </c>
      <c r="I6" s="183" t="s">
        <v>116</v>
      </c>
      <c r="J6" s="177" t="s">
        <v>118</v>
      </c>
      <c r="K6" s="80"/>
      <c r="L6" s="80"/>
      <c r="M6" s="80"/>
      <c r="N6" s="80"/>
      <c r="O6" s="80"/>
      <c r="P6" s="80"/>
      <c r="Q6" s="80"/>
    </row>
    <row r="7" spans="1:17" ht="18" customHeight="1">
      <c r="A7" s="155"/>
      <c r="B7" s="158"/>
      <c r="C7" s="187"/>
      <c r="D7" s="147"/>
      <c r="E7" s="161"/>
      <c r="F7" s="164"/>
      <c r="G7" s="175"/>
      <c r="H7" s="181"/>
      <c r="I7" s="184"/>
      <c r="J7" s="178"/>
      <c r="K7" s="80"/>
      <c r="L7" s="80"/>
      <c r="M7" s="80"/>
      <c r="N7" s="80"/>
      <c r="O7" s="80"/>
      <c r="P7" s="80"/>
      <c r="Q7" s="80"/>
    </row>
    <row r="8" spans="1:17" ht="18" customHeight="1">
      <c r="A8" s="155"/>
      <c r="B8" s="158"/>
      <c r="C8" s="187"/>
      <c r="D8" s="147"/>
      <c r="E8" s="161"/>
      <c r="F8" s="164"/>
      <c r="G8" s="175"/>
      <c r="H8" s="181"/>
      <c r="I8" s="184"/>
      <c r="J8" s="178"/>
      <c r="K8" s="80"/>
      <c r="L8" s="80"/>
      <c r="M8" s="80"/>
      <c r="N8" s="80"/>
      <c r="O8" s="80"/>
      <c r="P8" s="80"/>
      <c r="Q8" s="80"/>
    </row>
    <row r="9" spans="1:17" ht="18" customHeight="1">
      <c r="A9" s="155"/>
      <c r="B9" s="158"/>
      <c r="C9" s="187"/>
      <c r="D9" s="147"/>
      <c r="E9" s="161"/>
      <c r="F9" s="164"/>
      <c r="G9" s="175"/>
      <c r="H9" s="181"/>
      <c r="I9" s="184"/>
      <c r="J9" s="178"/>
      <c r="K9" s="80"/>
      <c r="L9" s="80"/>
      <c r="M9" s="80"/>
      <c r="N9" s="80"/>
      <c r="O9" s="80"/>
      <c r="P9" s="80"/>
      <c r="Q9" s="80"/>
    </row>
    <row r="10" spans="1:17" ht="18" customHeight="1" thickBot="1">
      <c r="A10" s="156"/>
      <c r="B10" s="159"/>
      <c r="C10" s="188"/>
      <c r="D10" s="148"/>
      <c r="E10" s="162"/>
      <c r="F10" s="165"/>
      <c r="G10" s="176"/>
      <c r="H10" s="182"/>
      <c r="I10" s="185"/>
      <c r="J10" s="179"/>
      <c r="K10" s="80"/>
      <c r="L10" s="80"/>
      <c r="M10" s="80"/>
      <c r="N10" s="80"/>
      <c r="O10" s="80"/>
      <c r="P10" s="80"/>
      <c r="Q10" s="80"/>
    </row>
    <row r="11" spans="1:17" ht="18" customHeight="1" thickTop="1">
      <c r="A11" s="101"/>
      <c r="B11" s="166" t="s">
        <v>110</v>
      </c>
      <c r="C11" s="166"/>
      <c r="D11" s="166"/>
      <c r="E11" s="166"/>
      <c r="F11" s="166"/>
      <c r="G11" s="166"/>
      <c r="H11" s="166"/>
      <c r="I11" s="166"/>
      <c r="J11" s="167"/>
      <c r="K11" s="80"/>
      <c r="L11" s="80"/>
      <c r="M11" s="80"/>
      <c r="N11" s="80"/>
      <c r="O11" s="80"/>
      <c r="P11" s="80"/>
      <c r="Q11" s="80"/>
    </row>
    <row r="12" spans="1:12" ht="15" customHeight="1">
      <c r="A12" s="86">
        <v>1872</v>
      </c>
      <c r="B12" s="96">
        <f>1-E12-J12</f>
        <v>0.41544203539823</v>
      </c>
      <c r="C12" s="117">
        <f>B12-D12</f>
        <v>0.28544203539823</v>
      </c>
      <c r="D12" s="97">
        <v>0.13</v>
      </c>
      <c r="E12" s="87">
        <f>'DetailsTS10.4(1)'!E13/(1+'T10.1'!$D12)</f>
        <v>0.5609370796460178</v>
      </c>
      <c r="F12" s="100">
        <f>'DetailsTS10.4(1)'!F13/(1+'T10.1'!$D12)</f>
        <v>0.1537612389380531</v>
      </c>
      <c r="G12" s="89">
        <f>'DetailsTS10.4(1)'!H13/(1+'T10.1'!$D12)</f>
        <v>0.1881161946902655</v>
      </c>
      <c r="H12" s="98">
        <f>'DetailsTS10.4(1)'!J13/(1+'T10.1'!$D12)</f>
        <v>0.12981805309734515</v>
      </c>
      <c r="I12" s="115">
        <f>'DetailsTS10.4(1)'!L13/(1+'T10.1'!$D12)</f>
        <v>0.08924159292035398</v>
      </c>
      <c r="J12" s="102">
        <f>'DetailsTS10.4(1)'!N13/(1+'T10.1'!$D12)</f>
        <v>0.023620884955752215</v>
      </c>
      <c r="K12" s="91"/>
      <c r="L12" s="91"/>
    </row>
    <row r="13" spans="1:12" ht="18" customHeight="1" thickBot="1">
      <c r="A13" s="103">
        <v>1912</v>
      </c>
      <c r="B13" s="104">
        <v>0.3570394</v>
      </c>
      <c r="C13" s="118">
        <v>0.2458059</v>
      </c>
      <c r="D13" s="106">
        <v>0.1112335</v>
      </c>
      <c r="E13" s="107">
        <v>0.6152886</v>
      </c>
      <c r="F13" s="111">
        <v>0.2019995</v>
      </c>
      <c r="G13" s="110">
        <v>0.1850549</v>
      </c>
      <c r="H13" s="108">
        <v>0.1421421</v>
      </c>
      <c r="I13" s="116">
        <v>0.0860921</v>
      </c>
      <c r="J13" s="113">
        <v>0.027672</v>
      </c>
      <c r="K13" s="91"/>
      <c r="L13" s="91"/>
    </row>
    <row r="14" spans="1:10" ht="15" thickTop="1">
      <c r="A14" s="101"/>
      <c r="B14" s="166" t="s">
        <v>111</v>
      </c>
      <c r="C14" s="166"/>
      <c r="D14" s="166"/>
      <c r="E14" s="166"/>
      <c r="F14" s="166"/>
      <c r="G14" s="166"/>
      <c r="H14" s="166"/>
      <c r="I14" s="166"/>
      <c r="J14" s="167"/>
    </row>
    <row r="15" spans="1:10" ht="15">
      <c r="A15" s="86">
        <v>1872</v>
      </c>
      <c r="B15" s="96">
        <f>1-E15-J15</f>
        <v>0.4335156637168141</v>
      </c>
      <c r="C15" s="117">
        <f>B15-D15</f>
        <v>0.3035156637168141</v>
      </c>
      <c r="D15" s="97">
        <v>0.13</v>
      </c>
      <c r="E15" s="87">
        <f>'DetailsTS10.4(1)'!E19/(1+'T10.1'!$D15)</f>
        <v>0.5489010619469027</v>
      </c>
      <c r="F15" s="100">
        <f>'DetailsTS10.4(1)'!F19/(1+'T10.1'!$D15)</f>
        <v>0.16345336283185843</v>
      </c>
      <c r="G15" s="89">
        <f>'DetailsTS10.4(1)'!H19/(1+'T10.1'!$D15)</f>
        <v>0.15584530973451327</v>
      </c>
      <c r="H15" s="98">
        <f>'DetailsTS10.4(1)'!J19/(1+'T10.1'!$D15)</f>
        <v>0.12672247787610622</v>
      </c>
      <c r="I15" s="115">
        <f>'DetailsTS10.4(1)'!L19/(1+'T10.1'!$D15)</f>
        <v>0.1028799115044248</v>
      </c>
      <c r="J15" s="102">
        <f>'DetailsTS10.4(1)'!N19/(1+'T10.1'!$D15)</f>
        <v>0.017583274336283188</v>
      </c>
    </row>
    <row r="16" spans="1:10" ht="15.75" thickBot="1">
      <c r="A16" s="103">
        <v>1912</v>
      </c>
      <c r="B16" s="104">
        <v>0.3247803</v>
      </c>
      <c r="C16" s="118">
        <v>0.2211604</v>
      </c>
      <c r="D16" s="106">
        <v>0.10362</v>
      </c>
      <c r="E16" s="107">
        <v>0.6538293</v>
      </c>
      <c r="F16" s="111">
        <v>0.2430957</v>
      </c>
      <c r="G16" s="110">
        <v>0.1908742</v>
      </c>
      <c r="H16" s="108">
        <v>0.1376101</v>
      </c>
      <c r="I16" s="116">
        <v>0.0822494</v>
      </c>
      <c r="J16" s="113">
        <v>0.0213904</v>
      </c>
    </row>
    <row r="17" spans="1:10" ht="15" thickTop="1">
      <c r="A17" s="101"/>
      <c r="B17" s="166" t="s">
        <v>112</v>
      </c>
      <c r="C17" s="166"/>
      <c r="D17" s="166"/>
      <c r="E17" s="166"/>
      <c r="F17" s="166"/>
      <c r="G17" s="166"/>
      <c r="H17" s="166"/>
      <c r="I17" s="166"/>
      <c r="J17" s="167"/>
    </row>
    <row r="18" spans="1:10" ht="15">
      <c r="A18" s="86">
        <v>1872</v>
      </c>
      <c r="B18" s="96">
        <f>1-E18-J18</f>
        <v>0.42041686956521734</v>
      </c>
      <c r="C18" s="117">
        <f>B18-D18</f>
        <v>0.2704168695652174</v>
      </c>
      <c r="D18" s="97">
        <v>0.15</v>
      </c>
      <c r="E18" s="87">
        <f>'DetailsTS10.4(1)'!E24/(1+'T10.1'!$D18)</f>
        <v>0.5561322608695652</v>
      </c>
      <c r="F18" s="100">
        <f>'DetailsTS10.4(1)'!F24/(1+'T10.1'!$D18)</f>
        <v>0.13950434782608695</v>
      </c>
      <c r="G18" s="89">
        <f>'DetailsTS10.4(1)'!H24/(1+'T10.1'!$D18)</f>
        <v>0.22006956521739135</v>
      </c>
      <c r="H18" s="98">
        <f>'DetailsTS10.4(1)'!J24/(1+'T10.1'!$D18)</f>
        <v>0.12762382608695652</v>
      </c>
      <c r="I18" s="115">
        <f>'DetailsTS10.4(1)'!L24/(1+'T10.1'!$D18)</f>
        <v>0.06893452173913045</v>
      </c>
      <c r="J18" s="102">
        <f>'DetailsTS10.4(1)'!N24/(1+'T10.1'!$D18)</f>
        <v>0.023450869565217393</v>
      </c>
    </row>
    <row r="19" spans="1:10" ht="15.75" thickBot="1">
      <c r="A19" s="103">
        <v>1912</v>
      </c>
      <c r="B19" s="104">
        <v>0.412484</v>
      </c>
      <c r="C19" s="118">
        <v>0.2962541</v>
      </c>
      <c r="D19" s="106">
        <v>0.1162298</v>
      </c>
      <c r="E19" s="107">
        <v>0.5538484</v>
      </c>
      <c r="F19" s="111">
        <v>0.1389242</v>
      </c>
      <c r="G19" s="110">
        <v>0.1778154</v>
      </c>
      <c r="H19" s="108">
        <v>0.1497871</v>
      </c>
      <c r="I19" s="116">
        <v>0.0873218</v>
      </c>
      <c r="J19" s="113">
        <v>0.0336676</v>
      </c>
    </row>
    <row r="20" spans="1:10" ht="15" thickTop="1">
      <c r="A20" s="101"/>
      <c r="B20" s="166" t="s">
        <v>113</v>
      </c>
      <c r="C20" s="166"/>
      <c r="D20" s="166"/>
      <c r="E20" s="166"/>
      <c r="F20" s="166"/>
      <c r="G20" s="166"/>
      <c r="H20" s="166"/>
      <c r="I20" s="166"/>
      <c r="J20" s="167"/>
    </row>
    <row r="21" spans="1:10" ht="15">
      <c r="A21" s="86">
        <v>1872</v>
      </c>
      <c r="B21" s="96">
        <f>1-E21-J21</f>
        <v>0.2685246031746032</v>
      </c>
      <c r="C21" s="117">
        <f>B21-D21</f>
        <v>0.008524603174603185</v>
      </c>
      <c r="D21" s="97">
        <v>0.26</v>
      </c>
      <c r="E21" s="87">
        <f>'DetailsTS10.4(1)'!E29/(1+'T10.1'!$D21)</f>
        <v>0.6242281746031746</v>
      </c>
      <c r="F21" s="100">
        <f>'DetailsTS10.4(1)'!F29/(1+'T10.1'!$D21)</f>
        <v>0.12596809523809524</v>
      </c>
      <c r="G21" s="89">
        <f>'DetailsTS10.4(1)'!H29/(1+'T10.1'!$D21)</f>
        <v>0.24609198412698413</v>
      </c>
      <c r="H21" s="98">
        <f>'DetailsTS10.4(1)'!J29/(1+'T10.1'!$D21)</f>
        <v>0.1612269841269841</v>
      </c>
      <c r="I21" s="115">
        <f>'DetailsTS10.4(1)'!L29/(1+'T10.1'!$D21)</f>
        <v>0.09094111111111111</v>
      </c>
      <c r="J21" s="102">
        <f>'DetailsTS10.4(1)'!N29/(1+'T10.1'!$D21)</f>
        <v>0.10724722222222222</v>
      </c>
    </row>
    <row r="22" spans="1:10" ht="15.75" thickBot="1">
      <c r="A22" s="103">
        <v>1912</v>
      </c>
      <c r="B22" s="104">
        <v>0.3131449</v>
      </c>
      <c r="C22" s="118">
        <v>0.0699271</v>
      </c>
      <c r="D22" s="106">
        <v>0.2432178</v>
      </c>
      <c r="E22" s="107">
        <v>0.5832533</v>
      </c>
      <c r="F22" s="111">
        <v>0.1249325</v>
      </c>
      <c r="G22" s="110">
        <v>0.1443677</v>
      </c>
      <c r="H22" s="108">
        <v>0.1385132</v>
      </c>
      <c r="I22" s="116">
        <v>0.17543999999999998</v>
      </c>
      <c r="J22" s="113">
        <v>0.1036018</v>
      </c>
    </row>
    <row r="23" spans="1:10" ht="15.75" thickBot="1" thickTop="1">
      <c r="A23" s="93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5" thickTop="1">
      <c r="A24" s="168" t="s">
        <v>114</v>
      </c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ht="15" thickTop="1"/>
  </sheetData>
  <sheetProtection/>
  <mergeCells count="17">
    <mergeCell ref="B17:J17"/>
    <mergeCell ref="B20:J20"/>
    <mergeCell ref="A24:J25"/>
    <mergeCell ref="B11:J11"/>
    <mergeCell ref="B14:J14"/>
    <mergeCell ref="G6:G10"/>
    <mergeCell ref="J6:J10"/>
    <mergeCell ref="H6:H10"/>
    <mergeCell ref="I6:I10"/>
    <mergeCell ref="C6:C10"/>
    <mergeCell ref="D6:D10"/>
    <mergeCell ref="A4:J4"/>
    <mergeCell ref="B5:J5"/>
    <mergeCell ref="A6:A10"/>
    <mergeCell ref="B6:B10"/>
    <mergeCell ref="E6:E10"/>
    <mergeCell ref="F6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5.7109375" style="0" customWidth="1"/>
    <col min="2" max="17" width="10.7109375" style="0" customWidth="1"/>
    <col min="18" max="39" width="12.7109375" style="0" customWidth="1"/>
  </cols>
  <sheetData>
    <row r="1" spans="1:3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4.5" customHeight="1" thickBot="1" thickTop="1">
      <c r="A3" s="189" t="s">
        <v>121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1"/>
      <c r="S3" s="1"/>
      <c r="T3" s="1"/>
      <c r="AF3" s="1"/>
      <c r="AG3" s="1"/>
      <c r="AH3" s="1"/>
      <c r="AI3" s="1"/>
      <c r="AJ3" s="1"/>
      <c r="AK3" s="1"/>
      <c r="AL3" s="1"/>
      <c r="AM3" s="1"/>
    </row>
    <row r="4" spans="1:39" ht="24.75" customHeight="1" thickBot="1" thickTop="1">
      <c r="A4" s="196" t="s">
        <v>122</v>
      </c>
      <c r="B4" s="192" t="s">
        <v>0</v>
      </c>
      <c r="C4" s="193"/>
      <c r="D4" s="193"/>
      <c r="E4" s="195"/>
      <c r="F4" s="192" t="s">
        <v>1</v>
      </c>
      <c r="G4" s="193"/>
      <c r="H4" s="194"/>
      <c r="I4" s="192" t="s">
        <v>2</v>
      </c>
      <c r="J4" s="193"/>
      <c r="K4" s="193"/>
      <c r="L4" s="192" t="s">
        <v>3</v>
      </c>
      <c r="M4" s="193"/>
      <c r="N4" s="194"/>
      <c r="O4" s="192" t="s">
        <v>119</v>
      </c>
      <c r="P4" s="193"/>
      <c r="Q4" s="194"/>
      <c r="R4" s="1"/>
      <c r="S4" s="1"/>
      <c r="T4" s="1"/>
      <c r="AF4" s="1"/>
      <c r="AG4" s="1"/>
      <c r="AH4" s="1"/>
      <c r="AI4" s="1"/>
      <c r="AJ4" s="1"/>
      <c r="AK4" s="1"/>
      <c r="AL4" s="1"/>
      <c r="AM4" s="1"/>
    </row>
    <row r="5" spans="1:39" ht="60" customHeight="1" thickBot="1" thickTop="1">
      <c r="A5" s="197"/>
      <c r="B5" s="120" t="s">
        <v>4</v>
      </c>
      <c r="C5" s="121" t="s">
        <v>5</v>
      </c>
      <c r="D5" s="122" t="s">
        <v>6</v>
      </c>
      <c r="E5" s="121" t="s">
        <v>51</v>
      </c>
      <c r="F5" s="120" t="s">
        <v>4</v>
      </c>
      <c r="G5" s="121" t="s">
        <v>5</v>
      </c>
      <c r="H5" s="122" t="s">
        <v>6</v>
      </c>
      <c r="I5" s="120" t="s">
        <v>4</v>
      </c>
      <c r="J5" s="121" t="s">
        <v>5</v>
      </c>
      <c r="K5" s="121" t="s">
        <v>6</v>
      </c>
      <c r="L5" s="120" t="s">
        <v>4</v>
      </c>
      <c r="M5" s="121" t="s">
        <v>5</v>
      </c>
      <c r="N5" s="122" t="s">
        <v>6</v>
      </c>
      <c r="O5" s="120" t="s">
        <v>4</v>
      </c>
      <c r="P5" s="121" t="s">
        <v>5</v>
      </c>
      <c r="Q5" s="122" t="s">
        <v>6</v>
      </c>
      <c r="R5" s="1"/>
      <c r="S5" s="1"/>
      <c r="T5" s="1"/>
      <c r="AF5" s="1"/>
      <c r="AG5" s="1"/>
      <c r="AH5" s="1"/>
      <c r="AI5" s="1"/>
      <c r="AJ5" s="1"/>
      <c r="AK5" s="1"/>
      <c r="AL5" s="1"/>
      <c r="AM5" s="1"/>
    </row>
    <row r="6" spans="1:39" ht="15" thickTop="1">
      <c r="A6" s="3">
        <v>1810</v>
      </c>
      <c r="B6" s="126">
        <f>'TS10.1DetailsFR'!F6</f>
        <v>0.79878781686867</v>
      </c>
      <c r="C6" s="4">
        <f>'TS10.1DetailsFR'!G6</f>
        <v>0.4559315130562488</v>
      </c>
      <c r="D6" s="5">
        <f>'TS10.1DetailsFR'!H6</f>
        <v>0.17142071392658892</v>
      </c>
      <c r="E6" s="7">
        <f>'TS10.1DetailsFR'!I6</f>
        <v>0.5373679950186799</v>
      </c>
      <c r="F6" s="6">
        <f>0.28+G6</f>
        <v>0.8290000000000001</v>
      </c>
      <c r="G6" s="7">
        <v>0.549</v>
      </c>
      <c r="H6" s="5"/>
      <c r="I6" s="6">
        <v>0.58</v>
      </c>
      <c r="J6" s="7">
        <v>0.25</v>
      </c>
      <c r="K6" s="5"/>
      <c r="L6" s="6">
        <f>0.28+M6</f>
        <v>0.8390000000000001</v>
      </c>
      <c r="M6" s="7">
        <v>0.559</v>
      </c>
      <c r="N6" s="5"/>
      <c r="O6" s="6">
        <f>(B6+F6+L6)/3</f>
        <v>0.82226260562289</v>
      </c>
      <c r="P6" s="7">
        <f>(C6+G6+M6)/3</f>
        <v>0.5213105043520829</v>
      </c>
      <c r="Q6" s="5"/>
      <c r="R6" s="1"/>
      <c r="S6" s="1"/>
      <c r="T6" s="1"/>
      <c r="AF6" s="1"/>
      <c r="AG6" s="1"/>
      <c r="AH6" s="1"/>
      <c r="AI6" s="1"/>
      <c r="AJ6" s="1"/>
      <c r="AK6" s="1"/>
      <c r="AL6" s="1"/>
      <c r="AM6" s="1"/>
    </row>
    <row r="7" spans="1:39" ht="15">
      <c r="A7" s="3">
        <v>1820</v>
      </c>
      <c r="B7" s="124">
        <f>'TS10.1DetailsFR'!F7</f>
        <v>0.8184428358295537</v>
      </c>
      <c r="C7" s="4">
        <f>'TS10.1DetailsFR'!G7</f>
        <v>0.46715019008754644</v>
      </c>
      <c r="D7" s="5">
        <f>'TS10.1DetailsFR'!H7</f>
        <v>0.18978764855356883</v>
      </c>
      <c r="E7" s="7">
        <f>'TS10.1DetailsFR'!I7</f>
        <v>0.5901245754076087</v>
      </c>
      <c r="F7" s="6"/>
      <c r="G7" s="7"/>
      <c r="H7" s="5"/>
      <c r="I7" s="9"/>
      <c r="J7" s="10"/>
      <c r="K7" s="8"/>
      <c r="L7" s="6"/>
      <c r="M7" s="7"/>
      <c r="N7" s="5"/>
      <c r="O7" s="6"/>
      <c r="P7" s="7"/>
      <c r="Q7" s="5"/>
      <c r="R7" s="1"/>
      <c r="S7" s="1"/>
      <c r="T7" s="1"/>
      <c r="AF7" s="1"/>
      <c r="AG7" s="1"/>
      <c r="AH7" s="1"/>
      <c r="AI7" s="1"/>
      <c r="AJ7" s="1"/>
      <c r="AK7" s="1"/>
      <c r="AL7" s="1"/>
      <c r="AM7" s="1"/>
    </row>
    <row r="8" spans="1:39" ht="15">
      <c r="A8" s="3">
        <v>1830</v>
      </c>
      <c r="B8" s="124">
        <f>'TS10.1DetailsFR'!F8</f>
        <v>0.8322110340212384</v>
      </c>
      <c r="C8" s="4">
        <f>'TS10.1DetailsFR'!G8</f>
        <v>0.4750087919603203</v>
      </c>
      <c r="D8" s="5">
        <f>'TS10.1DetailsFR'!H8</f>
        <v>0.17124310760805297</v>
      </c>
      <c r="E8" s="7">
        <f>'TS10.1DetailsFR'!I8</f>
        <v>0.5196642951687624</v>
      </c>
      <c r="F8" s="6"/>
      <c r="G8" s="7"/>
      <c r="H8" s="5"/>
      <c r="I8" s="9"/>
      <c r="J8" s="10"/>
      <c r="K8" s="8"/>
      <c r="L8" s="6"/>
      <c r="M8" s="7"/>
      <c r="N8" s="5"/>
      <c r="O8" s="6"/>
      <c r="P8" s="7"/>
      <c r="Q8" s="5"/>
      <c r="R8" s="1"/>
      <c r="S8" s="1"/>
      <c r="T8" s="1"/>
      <c r="AF8" s="1"/>
      <c r="AG8" s="1"/>
      <c r="AH8" s="1"/>
      <c r="AI8" s="1"/>
      <c r="AJ8" s="1"/>
      <c r="AK8" s="1"/>
      <c r="AL8" s="1"/>
      <c r="AM8" s="1"/>
    </row>
    <row r="9" spans="1:39" ht="15">
      <c r="A9" s="3">
        <f>A8+10</f>
        <v>1840</v>
      </c>
      <c r="B9" s="124">
        <f>'TS10.1DetailsFR'!F9</f>
        <v>0.8041448469317289</v>
      </c>
      <c r="C9" s="4">
        <f>'TS10.1DetailsFR'!G9</f>
        <v>0.4595514336174318</v>
      </c>
      <c r="D9" s="5">
        <f>'TS10.1DetailsFR'!H9</f>
        <v>0.15487354778056128</v>
      </c>
      <c r="E9" s="7">
        <f>'TS10.1DetailsFR'!I9</f>
        <v>0.5255458616429896</v>
      </c>
      <c r="F9" s="6"/>
      <c r="G9" s="7"/>
      <c r="H9" s="5"/>
      <c r="I9" s="9"/>
      <c r="J9" s="10"/>
      <c r="K9" s="8"/>
      <c r="L9" s="6"/>
      <c r="M9" s="7"/>
      <c r="N9" s="5"/>
      <c r="O9" s="6"/>
      <c r="P9" s="7"/>
      <c r="Q9" s="5"/>
      <c r="R9" s="1"/>
      <c r="S9" s="1"/>
      <c r="T9" s="1"/>
      <c r="AF9" s="1"/>
      <c r="AG9" s="1"/>
      <c r="AH9" s="1"/>
      <c r="AI9" s="1"/>
      <c r="AJ9" s="1"/>
      <c r="AK9" s="1"/>
      <c r="AL9" s="1"/>
      <c r="AM9" s="1"/>
    </row>
    <row r="10" spans="1:39" ht="15">
      <c r="A10" s="3">
        <f aca="true" t="shared" si="0" ref="A10:A26">A9+10</f>
        <v>1850</v>
      </c>
      <c r="B10" s="124">
        <f>'TS10.1DetailsFR'!F10</f>
        <v>0.82439427798708</v>
      </c>
      <c r="C10" s="4">
        <f>'TS10.1DetailsFR'!G10</f>
        <v>0.5027016952203005</v>
      </c>
      <c r="D10" s="5">
        <f>'TS10.1DetailsFR'!H10</f>
        <v>0.1935375585394074</v>
      </c>
      <c r="E10" s="7">
        <f>'TS10.1DetailsFR'!I10</f>
        <v>0.5857911314514268</v>
      </c>
      <c r="F10" s="6"/>
      <c r="G10" s="7"/>
      <c r="H10" s="5"/>
      <c r="I10" s="9"/>
      <c r="J10" s="10"/>
      <c r="K10" s="8"/>
      <c r="L10" s="6"/>
      <c r="M10" s="7"/>
      <c r="N10" s="5"/>
      <c r="O10" s="6"/>
      <c r="P10" s="7"/>
      <c r="Q10" s="5"/>
      <c r="R10" s="1"/>
      <c r="S10" s="1"/>
      <c r="T10" s="1"/>
      <c r="AF10" s="1"/>
      <c r="AG10" s="1"/>
      <c r="AH10" s="1"/>
      <c r="AI10" s="1"/>
      <c r="AJ10" s="1"/>
      <c r="AK10" s="1"/>
      <c r="AL10" s="1"/>
      <c r="AM10" s="1"/>
    </row>
    <row r="11" spans="1:39" ht="15">
      <c r="A11" s="3">
        <f t="shared" si="0"/>
        <v>1860</v>
      </c>
      <c r="B11" s="124">
        <f>'TS10.1DetailsFR'!F11</f>
        <v>0.8371018680124407</v>
      </c>
      <c r="C11" s="4">
        <f>'TS10.1DetailsFR'!G11</f>
        <v>0.5199535623840685</v>
      </c>
      <c r="D11" s="5">
        <f>'TS10.1DetailsFR'!H11</f>
        <v>0.18299197793155286</v>
      </c>
      <c r="E11" s="7">
        <f>'TS10.1DetailsFR'!I11</f>
        <v>0.5511359768939167</v>
      </c>
      <c r="F11" s="6"/>
      <c r="G11" s="7"/>
      <c r="H11" s="5"/>
      <c r="I11" s="9"/>
      <c r="J11" s="10"/>
      <c r="K11" s="8"/>
      <c r="L11" s="6"/>
      <c r="M11" s="7"/>
      <c r="N11" s="5"/>
      <c r="O11" s="6"/>
      <c r="P11" s="7"/>
      <c r="Q11" s="5"/>
      <c r="R11" s="1"/>
      <c r="S11" s="1"/>
      <c r="T11" s="1"/>
      <c r="AF11" s="1"/>
      <c r="AG11" s="1"/>
      <c r="AH11" s="1"/>
      <c r="AI11" s="1"/>
      <c r="AJ11" s="1"/>
      <c r="AK11" s="1"/>
      <c r="AL11" s="1"/>
      <c r="AM11" s="1"/>
    </row>
    <row r="12" spans="1:39" ht="15">
      <c r="A12" s="3">
        <f t="shared" si="0"/>
        <v>1870</v>
      </c>
      <c r="B12" s="124">
        <f>'TS10.1DetailsFR'!F12</f>
        <v>0.8181164778171098</v>
      </c>
      <c r="C12" s="4">
        <f>'TS10.1DetailsFR'!G12</f>
        <v>0.5035582695387667</v>
      </c>
      <c r="D12" s="5">
        <f>'TS10.1DetailsFR'!H12</f>
        <v>0.18299868663009003</v>
      </c>
      <c r="E12" s="7">
        <f>'TS10.1DetailsFR'!I12</f>
        <v>0.556762917128136</v>
      </c>
      <c r="F12" s="6">
        <f>0.26+G12</f>
        <v>0.871</v>
      </c>
      <c r="G12" s="7">
        <v>0.611</v>
      </c>
      <c r="H12" s="5"/>
      <c r="I12" s="6">
        <v>0.71</v>
      </c>
      <c r="J12" s="7">
        <v>0.32</v>
      </c>
      <c r="K12" s="8"/>
      <c r="L12" s="6">
        <f>(0.8834+0.8599)/2</f>
        <v>0.87165</v>
      </c>
      <c r="M12" s="7">
        <f>(0.6046+0.5407)/2</f>
        <v>0.57265</v>
      </c>
      <c r="N12" s="5">
        <f>(0.356+0.2355)/2</f>
        <v>0.29574999999999996</v>
      </c>
      <c r="O12" s="6">
        <f>(B12+F12+L12)/3</f>
        <v>0.8535888259390365</v>
      </c>
      <c r="P12" s="7">
        <f>(C12+G12+M12)/3</f>
        <v>0.5624027565129222</v>
      </c>
      <c r="Q12" s="5"/>
      <c r="R12" s="1"/>
      <c r="S12" s="1"/>
      <c r="T12" s="1"/>
      <c r="AF12" s="1"/>
      <c r="AG12" s="1"/>
      <c r="AH12" s="1"/>
      <c r="AI12" s="1"/>
      <c r="AJ12" s="1"/>
      <c r="AK12" s="1"/>
      <c r="AL12" s="1"/>
      <c r="AM12" s="1"/>
    </row>
    <row r="13" spans="1:39" ht="15">
      <c r="A13" s="3">
        <f t="shared" si="0"/>
        <v>1880</v>
      </c>
      <c r="B13" s="124">
        <f>'TS10.1DetailsFR'!F13</f>
        <v>0.8464124025785096</v>
      </c>
      <c r="C13" s="4">
        <f>'TS10.1DetailsFR'!G13</f>
        <v>0.4950721877925417</v>
      </c>
      <c r="D13" s="5">
        <f>'TS10.1DetailsFR'!H13</f>
        <v>0.2114382458121452</v>
      </c>
      <c r="E13" s="7">
        <f>'TS10.1DetailsFR'!I13</f>
        <v>0.6187150968371187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1"/>
      <c r="S13" s="1"/>
      <c r="T13" s="1"/>
      <c r="AF13" s="1"/>
      <c r="AG13" s="1"/>
      <c r="AH13" s="1"/>
      <c r="AI13" s="1"/>
      <c r="AJ13" s="1"/>
      <c r="AK13" s="1"/>
      <c r="AL13" s="1"/>
      <c r="AM13" s="1"/>
    </row>
    <row r="14" spans="1:39" ht="15">
      <c r="A14" s="3">
        <f t="shared" si="0"/>
        <v>1890</v>
      </c>
      <c r="B14" s="124">
        <f>'TS10.1DetailsFR'!F14</f>
        <v>0.8474493792550328</v>
      </c>
      <c r="C14" s="4">
        <f>'TS10.1DetailsFR'!G14</f>
        <v>0.5114219896273863</v>
      </c>
      <c r="D14" s="5">
        <f>'TS10.1DetailsFR'!H14</f>
        <v>0.2021212077414905</v>
      </c>
      <c r="E14" s="7">
        <f>'TS10.1DetailsFR'!I14</f>
        <v>0.5815229132310035</v>
      </c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1"/>
      <c r="S14" s="1"/>
      <c r="T14" s="1"/>
      <c r="AF14" s="1"/>
      <c r="AG14" s="1"/>
      <c r="AH14" s="1"/>
      <c r="AI14" s="1"/>
      <c r="AJ14" s="1"/>
      <c r="AK14" s="1"/>
      <c r="AL14" s="1"/>
      <c r="AM14" s="1"/>
    </row>
    <row r="15" spans="1:39" ht="15">
      <c r="A15" s="3">
        <f t="shared" si="0"/>
        <v>1900</v>
      </c>
      <c r="B15" s="124">
        <f>'TS10.1DetailsFR'!F15</f>
        <v>0.8734180550321077</v>
      </c>
      <c r="C15" s="4">
        <f>'TS10.1DetailsFR'!G15</f>
        <v>0.5866712575762003</v>
      </c>
      <c r="D15" s="5">
        <f>'TS10.1DetailsFR'!H15</f>
        <v>0.28082988143913723</v>
      </c>
      <c r="E15" s="7">
        <f>'TS10.1DetailsFR'!I15</f>
        <v>0.6607169988551971</v>
      </c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1"/>
      <c r="S15" s="1"/>
      <c r="T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3">
        <v>1910</v>
      </c>
      <c r="B16" s="124">
        <f>'TS10.1DetailsFR'!F16</f>
        <v>0.8849613304738441</v>
      </c>
      <c r="C16" s="4">
        <f>'TS10.1DetailsFR'!G16</f>
        <v>0.6049945196533658</v>
      </c>
      <c r="D16" s="5">
        <f>'TS10.1DetailsFR'!H16</f>
        <v>0.28975911158897133</v>
      </c>
      <c r="E16" s="7">
        <f>'TS10.1DetailsFR'!I16</f>
        <v>0.7072090458420042</v>
      </c>
      <c r="F16" s="6">
        <v>0.92</v>
      </c>
      <c r="G16" s="7">
        <v>0.69</v>
      </c>
      <c r="H16" s="5"/>
      <c r="I16" s="6">
        <f>'TS10.1DetailsUS'!I6/100</f>
        <v>0.8112975136905877</v>
      </c>
      <c r="J16" s="7">
        <f>'TS10.1DetailsUS'!J6/100</f>
        <v>0.45129751369058757</v>
      </c>
      <c r="K16" s="7">
        <f>'TS10.1DetailsUS'!K6/100</f>
        <v>0.24824684660604698</v>
      </c>
      <c r="L16" s="6">
        <f>0.8815</f>
        <v>0.8815</v>
      </c>
      <c r="M16" s="7">
        <v>0.611</v>
      </c>
      <c r="N16" s="5">
        <f>(0.317+0.2701)/200%</f>
        <v>0.29355</v>
      </c>
      <c r="O16" s="6">
        <f aca="true" t="shared" si="1" ref="O16:O26">(B16+F16+L16)/3</f>
        <v>0.8954871101579481</v>
      </c>
      <c r="P16" s="7">
        <f aca="true" t="shared" si="2" ref="P16:P26">(C16+G16+M16)/3</f>
        <v>0.6353315065511219</v>
      </c>
      <c r="Q16" s="5"/>
      <c r="R16" s="1"/>
      <c r="S16" s="1"/>
      <c r="T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3">
        <v>1920</v>
      </c>
      <c r="B17" s="124">
        <f>'TS10.1DetailsFR'!F17</f>
        <v>0.8165627889330043</v>
      </c>
      <c r="C17" s="4">
        <f>'TS10.1DetailsFR'!G17</f>
        <v>0.4923438714201401</v>
      </c>
      <c r="D17" s="5">
        <f>'TS10.1DetailsFR'!H17</f>
        <v>0.23106962239195156</v>
      </c>
      <c r="E17" s="7">
        <f>'TS10.1DetailsFR'!I17</f>
        <v>0.6003279456437062</v>
      </c>
      <c r="F17" s="6">
        <v>0.89</v>
      </c>
      <c r="G17" s="7">
        <v>0.61</v>
      </c>
      <c r="H17" s="5"/>
      <c r="I17" s="6">
        <f>'TS10.1DetailsUS'!I7/100</f>
        <v>0.7972690161336922</v>
      </c>
      <c r="J17" s="7">
        <f>'TS10.1DetailsUS'!J7/100</f>
        <v>0.4372690161336923</v>
      </c>
      <c r="K17" s="7">
        <f>'TS10.1DetailsUS'!K7/100</f>
        <v>0.22907241790337418</v>
      </c>
      <c r="L17" s="6">
        <v>0.8769</v>
      </c>
      <c r="M17" s="7">
        <v>0.5379</v>
      </c>
      <c r="N17" s="5"/>
      <c r="O17" s="6">
        <f t="shared" si="1"/>
        <v>0.8611542629776681</v>
      </c>
      <c r="P17" s="7">
        <f t="shared" si="2"/>
        <v>0.5467479571400468</v>
      </c>
      <c r="Q17" s="5"/>
      <c r="R17" s="1"/>
      <c r="S17" s="1"/>
      <c r="T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3">
        <v>1930</v>
      </c>
      <c r="B18" s="124">
        <f>'TS10.1DetailsFR'!F18</f>
        <v>0.7995862635205542</v>
      </c>
      <c r="C18" s="4">
        <f>'TS10.1DetailsFR'!G18</f>
        <v>0.4735136010309913</v>
      </c>
      <c r="D18" s="5">
        <f>'TS10.1DetailsFR'!H18</f>
        <v>0.22364816902078286</v>
      </c>
      <c r="E18" s="7">
        <f>'TS10.1DetailsFR'!I18</f>
        <v>0.5476320631844506</v>
      </c>
      <c r="F18" s="6">
        <v>0.85</v>
      </c>
      <c r="G18" s="7">
        <v>0.55</v>
      </c>
      <c r="H18" s="5"/>
      <c r="I18" s="6">
        <f>'TS10.1DetailsUS'!I8/100</f>
        <v>0.7340596342126322</v>
      </c>
      <c r="J18" s="7">
        <f>'TS10.1DetailsUS'!J8/100</f>
        <v>0.3740596342126322</v>
      </c>
      <c r="K18" s="7">
        <f>'TS10.1DetailsUS'!K8/100</f>
        <v>0.20084183665366115</v>
      </c>
      <c r="L18" s="6">
        <v>0.8355</v>
      </c>
      <c r="M18" s="7">
        <v>0.4277</v>
      </c>
      <c r="N18" s="5"/>
      <c r="O18" s="6">
        <f t="shared" si="1"/>
        <v>0.8283620878401847</v>
      </c>
      <c r="P18" s="7">
        <f t="shared" si="2"/>
        <v>0.48373786701033045</v>
      </c>
      <c r="Q18" s="5"/>
      <c r="R18" s="1"/>
      <c r="S18" s="1"/>
      <c r="T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3">
        <f t="shared" si="0"/>
        <v>1940</v>
      </c>
      <c r="B19" s="124">
        <f>'TS10.1DetailsFR'!F19</f>
        <v>0.757792254497076</v>
      </c>
      <c r="C19" s="4">
        <f>'TS10.1DetailsFR'!G19</f>
        <v>0.3630260303208378</v>
      </c>
      <c r="D19" s="5">
        <f>'TS10.1DetailsFR'!H19</f>
        <v>0.1367665907496971</v>
      </c>
      <c r="E19" s="7">
        <f>'TS10.1DetailsFR'!I19</f>
        <v>0.5241158672001635</v>
      </c>
      <c r="F19" s="6"/>
      <c r="G19" s="7"/>
      <c r="H19" s="5"/>
      <c r="I19" s="6">
        <f>'TS10.1DetailsUS'!I9/100</f>
        <v>0.66389486443707</v>
      </c>
      <c r="J19" s="7">
        <f>'TS10.1DetailsUS'!J9/100</f>
        <v>0.30389486443707</v>
      </c>
      <c r="K19" s="7">
        <f>'TS10.1DetailsUS'!K9/100</f>
        <v>0.13501597440045224</v>
      </c>
      <c r="L19" s="6">
        <v>0.8317</v>
      </c>
      <c r="M19" s="7">
        <v>0.3769</v>
      </c>
      <c r="N19" s="5">
        <v>0.177</v>
      </c>
      <c r="O19" s="6"/>
      <c r="P19" s="7"/>
      <c r="Q19" s="5"/>
      <c r="R19" s="1"/>
      <c r="S19" s="1"/>
      <c r="T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3">
        <f t="shared" si="0"/>
        <v>1950</v>
      </c>
      <c r="B20" s="124">
        <f>'TS10.1DetailsFR'!F20</f>
        <v>0.7279647007145639</v>
      </c>
      <c r="C20" s="4">
        <f>'TS10.1DetailsFR'!G20</f>
        <v>0.3340325586128112</v>
      </c>
      <c r="D20" s="5">
        <f>'TS10.1DetailsFR'!H20</f>
        <v>0.12062614946961507</v>
      </c>
      <c r="E20" s="7">
        <f>'TS10.1DetailsFR'!I20</f>
        <v>0.3885572601753055</v>
      </c>
      <c r="F20" s="6">
        <v>0.76</v>
      </c>
      <c r="G20" s="7">
        <v>0.472</v>
      </c>
      <c r="H20" s="5"/>
      <c r="I20" s="6">
        <f>'TS10.1DetailsUS'!I10/100</f>
        <v>0.6566553523728667</v>
      </c>
      <c r="J20" s="7">
        <f>'TS10.1DetailsUS'!J10/100</f>
        <v>0.2966553523728666</v>
      </c>
      <c r="K20" s="7">
        <f>'TS10.1DetailsUS'!K10/100</f>
        <v>0.12277391790250029</v>
      </c>
      <c r="L20" s="6">
        <v>0.7729</v>
      </c>
      <c r="M20" s="7">
        <v>0.3281</v>
      </c>
      <c r="N20" s="5">
        <v>0.0965</v>
      </c>
      <c r="O20" s="6">
        <f t="shared" si="1"/>
        <v>0.7536215669048546</v>
      </c>
      <c r="P20" s="7">
        <f t="shared" si="2"/>
        <v>0.37804418620427044</v>
      </c>
      <c r="Q20" s="5"/>
      <c r="R20" s="1"/>
      <c r="S20" s="1"/>
      <c r="T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3">
        <f t="shared" si="0"/>
        <v>1960</v>
      </c>
      <c r="B21" s="124">
        <f>'TS10.1DetailsFR'!F21</f>
        <v>0.6994262587027165</v>
      </c>
      <c r="C21" s="4">
        <f>'TS10.1DetailsFR'!G21</f>
        <v>0.3189640764283639</v>
      </c>
      <c r="D21" s="5">
        <f>'TS10.1DetailsFR'!H21</f>
        <v>0.11488856035073748</v>
      </c>
      <c r="E21" s="7">
        <f>'TS10.1DetailsFR'!I21</f>
        <v>0.35285395430221905</v>
      </c>
      <c r="F21" s="6">
        <v>0.715</v>
      </c>
      <c r="G21" s="7">
        <v>0.339</v>
      </c>
      <c r="H21" s="5"/>
      <c r="I21" s="6">
        <f>'TS10.1DetailsUS'!I11/100</f>
        <v>0.67</v>
      </c>
      <c r="J21" s="7">
        <f>'TS10.1DetailsUS'!J11/100</f>
        <v>0.314</v>
      </c>
      <c r="K21" s="7">
        <f>'TS10.1DetailsUS'!K11/100</f>
        <v>0.13439582000217187</v>
      </c>
      <c r="L21" s="6">
        <v>0.6323</v>
      </c>
      <c r="M21" s="7">
        <v>0.2341</v>
      </c>
      <c r="N21" s="5">
        <v>0.0817</v>
      </c>
      <c r="O21" s="6">
        <f t="shared" si="1"/>
        <v>0.6822420862342388</v>
      </c>
      <c r="P21" s="7">
        <f t="shared" si="2"/>
        <v>0.2973546921427879</v>
      </c>
      <c r="Q21" s="5"/>
      <c r="R21" s="1"/>
      <c r="S21" s="1"/>
      <c r="T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3">
        <f t="shared" si="0"/>
        <v>1970</v>
      </c>
      <c r="B22" s="124">
        <f>'TS10.1DetailsFR'!F22</f>
        <v>0.62</v>
      </c>
      <c r="C22" s="4">
        <f>'TS10.1DetailsFR'!G22</f>
        <v>0.22</v>
      </c>
      <c r="D22" s="5">
        <f>'TS10.1DetailsFR'!H22</f>
        <v>0.07</v>
      </c>
      <c r="E22" s="7">
        <f>'TS10.1DetailsFR'!I22</f>
        <v>0.255</v>
      </c>
      <c r="F22" s="6">
        <v>0.641</v>
      </c>
      <c r="G22" s="7">
        <v>0.226</v>
      </c>
      <c r="H22" s="5"/>
      <c r="I22" s="6">
        <f>'TS10.1DetailsUS'!I12/100</f>
        <v>0.6418200113736071</v>
      </c>
      <c r="J22" s="7">
        <f>'TS10.1DetailsUS'!J12/100</f>
        <v>0.2818200113736071</v>
      </c>
      <c r="K22" s="7">
        <f>'TS10.1DetailsUS'!K12/100</f>
        <v>0.11514196600769284</v>
      </c>
      <c r="L22" s="6">
        <v>0.547</v>
      </c>
      <c r="M22" s="7">
        <v>0.177</v>
      </c>
      <c r="N22" s="5"/>
      <c r="O22" s="6">
        <f t="shared" si="1"/>
        <v>0.6026666666666668</v>
      </c>
      <c r="P22" s="7">
        <f t="shared" si="2"/>
        <v>0.20766666666666667</v>
      </c>
      <c r="Q22" s="5"/>
      <c r="R22" s="1"/>
      <c r="S22" s="1"/>
      <c r="T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3">
        <f t="shared" si="0"/>
        <v>1980</v>
      </c>
      <c r="B23" s="124">
        <f>'TS10.1DetailsFR'!F23</f>
        <v>0.6184276342339152</v>
      </c>
      <c r="C23" s="4">
        <f>'TS10.1DetailsFR'!G23</f>
        <v>0.22019883455897218</v>
      </c>
      <c r="D23" s="5">
        <f>'TS10.1DetailsFR'!H23</f>
        <v>0.06726281813875229</v>
      </c>
      <c r="E23" s="7">
        <f>'TS10.1DetailsFR'!I23</f>
        <v>0.25</v>
      </c>
      <c r="F23" s="6">
        <v>0.626</v>
      </c>
      <c r="G23" s="7">
        <v>0.227</v>
      </c>
      <c r="H23" s="5"/>
      <c r="I23" s="6">
        <f>'TS10.1DetailsUS'!I13/100</f>
        <v>0.672</v>
      </c>
      <c r="J23" s="7">
        <f>'TS10.1DetailsUS'!J13/100</f>
        <v>0.301</v>
      </c>
      <c r="K23" s="7">
        <f>'TS10.1DetailsUS'!K13/100</f>
        <v>0.12408183620413152</v>
      </c>
      <c r="L23" s="6">
        <v>0.534</v>
      </c>
      <c r="M23" s="7">
        <v>0.165</v>
      </c>
      <c r="N23" s="5"/>
      <c r="O23" s="6">
        <f t="shared" si="1"/>
        <v>0.592809211411305</v>
      </c>
      <c r="P23" s="7">
        <f t="shared" si="2"/>
        <v>0.20406627818632406</v>
      </c>
      <c r="Q23" s="5"/>
      <c r="R23" s="1"/>
      <c r="S23" s="1"/>
      <c r="T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3">
        <f t="shared" si="0"/>
        <v>1990</v>
      </c>
      <c r="B24" s="124">
        <f>'TS10.1DetailsFR'!F24</f>
        <v>0.6096215934026862</v>
      </c>
      <c r="C24" s="4">
        <f>'TS10.1DetailsFR'!G24</f>
        <v>0.21706333442803544</v>
      </c>
      <c r="D24" s="5">
        <f>'TS10.1DetailsFR'!H24</f>
        <v>0.06439403820914574</v>
      </c>
      <c r="E24" s="7">
        <f>'TS10.1DetailsFR'!I24</f>
        <v>0.24157756873433928</v>
      </c>
      <c r="F24" s="6">
        <v>0.64</v>
      </c>
      <c r="G24" s="7">
        <v>0.24</v>
      </c>
      <c r="H24" s="5"/>
      <c r="I24" s="6">
        <f>'TS10.1DetailsUS'!I14/100</f>
        <v>0.6869999999999998</v>
      </c>
      <c r="J24" s="7">
        <f>'TS10.1DetailsUS'!J14/100</f>
        <v>0.32899999999999996</v>
      </c>
      <c r="K24" s="7">
        <f>'TS10.1DetailsUS'!K14/100</f>
        <v>0.13898870976328495</v>
      </c>
      <c r="L24" s="6">
        <v>0.577</v>
      </c>
      <c r="M24" s="7">
        <v>0.195</v>
      </c>
      <c r="N24" s="5"/>
      <c r="O24" s="6">
        <f t="shared" si="1"/>
        <v>0.6088738644675621</v>
      </c>
      <c r="P24" s="7">
        <f t="shared" si="2"/>
        <v>0.21735444480934515</v>
      </c>
      <c r="Q24" s="5"/>
      <c r="R24" s="1"/>
      <c r="S24" s="1"/>
      <c r="T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3">
        <f t="shared" si="0"/>
        <v>2000</v>
      </c>
      <c r="B25" s="124">
        <f>'TS10.1DetailsFR'!F25</f>
        <v>0.621</v>
      </c>
      <c r="C25" s="11">
        <f>'TS10.1DetailsFR'!G25</f>
        <v>0.235</v>
      </c>
      <c r="D25" s="5">
        <f>'TS10.1DetailsFR'!H25</f>
        <v>0.06971513184860922</v>
      </c>
      <c r="E25" s="7">
        <f>'TS10.1DetailsFR'!I25</f>
        <v>0.2615399270547525</v>
      </c>
      <c r="F25" s="6">
        <v>0.685</v>
      </c>
      <c r="G25" s="7">
        <v>0.27</v>
      </c>
      <c r="H25" s="5"/>
      <c r="I25" s="6">
        <f>'TS10.1DetailsUS'!I15/100</f>
        <v>0.6965</v>
      </c>
      <c r="J25" s="7">
        <f>'TS10.1DetailsUS'!J15/100</f>
        <v>0.33049999999999996</v>
      </c>
      <c r="K25" s="7">
        <f>'TS10.1DetailsUS'!K15/100</f>
        <v>0.14407815804029964</v>
      </c>
      <c r="L25" s="6">
        <v>0.5781</v>
      </c>
      <c r="M25" s="7">
        <v>0.2048</v>
      </c>
      <c r="N25" s="5">
        <v>0.067</v>
      </c>
      <c r="O25" s="6">
        <f t="shared" si="1"/>
        <v>0.6280333333333333</v>
      </c>
      <c r="P25" s="7">
        <f t="shared" si="2"/>
        <v>0.2366</v>
      </c>
      <c r="Q25" s="5">
        <v>0.067</v>
      </c>
      <c r="R25" s="1"/>
      <c r="S25" s="1"/>
      <c r="T25" s="1"/>
      <c r="AF25" s="1"/>
      <c r="AG25" s="1"/>
      <c r="AH25" s="1"/>
      <c r="AI25" s="1"/>
      <c r="AJ25" s="1"/>
      <c r="AK25" s="1"/>
      <c r="AL25" s="1"/>
      <c r="AM25" s="1"/>
    </row>
    <row r="26" spans="1:39" ht="15" thickBot="1">
      <c r="A26" s="66">
        <f t="shared" si="0"/>
        <v>2010</v>
      </c>
      <c r="B26" s="125">
        <f>'TS10.1DetailsFR'!F26</f>
        <v>0.624</v>
      </c>
      <c r="C26" s="123">
        <f>'TS10.1DetailsFR'!G26</f>
        <v>0.244</v>
      </c>
      <c r="D26" s="14">
        <f>'TS10.1DetailsFR'!H26</f>
        <v>0.0723850730683432</v>
      </c>
      <c r="E26" s="12">
        <f>'TS10.1DetailsFR'!I26</f>
        <v>0.2715563497930196</v>
      </c>
      <c r="F26" s="13">
        <v>0.705</v>
      </c>
      <c r="G26" s="12">
        <v>0.28</v>
      </c>
      <c r="H26" s="14"/>
      <c r="I26" s="13">
        <f>'TS10.1DetailsUS'!I16/100</f>
        <v>0.715</v>
      </c>
      <c r="J26" s="12">
        <f>'TS10.1DetailsUS'!J16/100</f>
        <v>0.33799999999999997</v>
      </c>
      <c r="K26" s="12">
        <f>'TS10.1DetailsUS'!K16/100</f>
        <v>0.1473477077688995</v>
      </c>
      <c r="L26" s="13">
        <v>0.5877</v>
      </c>
      <c r="M26" s="12">
        <v>0.2071</v>
      </c>
      <c r="N26" s="14"/>
      <c r="O26" s="13">
        <f t="shared" si="1"/>
        <v>0.6389</v>
      </c>
      <c r="P26" s="12">
        <f t="shared" si="2"/>
        <v>0.24370000000000003</v>
      </c>
      <c r="Q26" s="14"/>
      <c r="R26" s="1"/>
      <c r="S26" s="1"/>
      <c r="T26" s="1"/>
      <c r="AF26" s="1"/>
      <c r="AG26" s="1"/>
      <c r="AH26" s="1"/>
      <c r="AI26" s="1"/>
      <c r="AJ26" s="1"/>
      <c r="AK26" s="1"/>
      <c r="AL26" s="1"/>
      <c r="AM26" s="1"/>
    </row>
    <row r="27" spans="1:39" ht="15.75" thickTop="1">
      <c r="A27" s="11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 t="s">
        <v>7</v>
      </c>
      <c r="B28" s="15"/>
      <c r="C28" s="15"/>
      <c r="D28" s="15"/>
      <c r="E28" s="1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6"/>
      <c r="B29" s="15"/>
      <c r="C29" s="15"/>
      <c r="D29" s="15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 t="s">
        <v>8</v>
      </c>
      <c r="B30" s="15"/>
      <c r="C30" s="15"/>
      <c r="D30" s="15"/>
      <c r="E30" s="15"/>
      <c r="F30" s="17"/>
      <c r="I30" s="17"/>
      <c r="J30" s="17"/>
      <c r="K30" s="17"/>
      <c r="L30" s="17"/>
      <c r="M30" s="17"/>
      <c r="N30" s="17"/>
      <c r="O30" s="17"/>
      <c r="P30" s="17"/>
      <c r="Q30" s="17"/>
      <c r="R30" s="1"/>
      <c r="S30" s="1"/>
      <c r="T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 t="s">
        <v>9</v>
      </c>
      <c r="B31" s="15"/>
      <c r="C31" s="15"/>
      <c r="D31" s="15"/>
      <c r="E31" s="15"/>
      <c r="F31" s="17"/>
      <c r="I31" s="17"/>
      <c r="J31" s="17"/>
      <c r="K31" s="17"/>
      <c r="L31" s="17"/>
      <c r="M31" s="17"/>
      <c r="N31" s="17"/>
      <c r="O31" s="17"/>
      <c r="P31" s="17"/>
      <c r="Q31" s="17"/>
      <c r="R31" s="1"/>
      <c r="S31" s="1"/>
      <c r="T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5"/>
      <c r="C32" s="15"/>
      <c r="D32" s="15"/>
      <c r="E32" s="15"/>
      <c r="F32" s="17"/>
      <c r="I32" s="17"/>
      <c r="J32" s="17"/>
      <c r="K32" s="17"/>
      <c r="L32" s="17"/>
      <c r="M32" s="17"/>
      <c r="N32" s="17"/>
      <c r="O32" s="17"/>
      <c r="P32" s="17"/>
      <c r="Q32" s="17"/>
      <c r="R32" s="1"/>
      <c r="S32" s="1"/>
      <c r="T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 t="s">
        <v>10</v>
      </c>
      <c r="B33" s="15"/>
      <c r="C33" s="15"/>
      <c r="D33" s="15"/>
      <c r="E33" s="15"/>
      <c r="F33" s="17"/>
      <c r="I33" s="17"/>
      <c r="J33" s="17"/>
      <c r="K33" s="17"/>
      <c r="L33" s="17"/>
      <c r="M33" s="17"/>
      <c r="N33" s="17"/>
      <c r="O33" s="17"/>
      <c r="P33" s="17"/>
      <c r="Q33" s="17"/>
      <c r="R33" s="1"/>
      <c r="S33" s="1"/>
      <c r="T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 t="s">
        <v>11</v>
      </c>
      <c r="B34" s="15"/>
      <c r="C34" s="15"/>
      <c r="D34" s="15"/>
      <c r="E34" s="15"/>
      <c r="F34" s="17"/>
      <c r="I34" s="17"/>
      <c r="J34" s="17"/>
      <c r="K34" s="17"/>
      <c r="L34" s="17"/>
      <c r="M34" s="17"/>
      <c r="N34" s="17"/>
      <c r="O34" s="17"/>
      <c r="P34" s="17"/>
      <c r="Q34" s="17"/>
      <c r="R34" s="1"/>
      <c r="S34" s="1"/>
      <c r="T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1" t="s">
        <v>12</v>
      </c>
      <c r="B35" s="15"/>
      <c r="C35" s="15"/>
      <c r="D35" s="15"/>
      <c r="E35" s="15"/>
      <c r="F35" s="17"/>
      <c r="I35" s="17"/>
      <c r="J35" s="17"/>
      <c r="K35" s="17"/>
      <c r="L35" s="17"/>
      <c r="M35" s="17"/>
      <c r="N35" s="17"/>
      <c r="O35" s="17"/>
      <c r="P35" s="17"/>
      <c r="Q35" s="17"/>
      <c r="R35" s="1"/>
      <c r="S35" s="1"/>
      <c r="T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1" t="s">
        <v>13</v>
      </c>
      <c r="B36" s="15"/>
      <c r="C36" s="15"/>
      <c r="D36" s="15"/>
      <c r="E36" s="15"/>
      <c r="F36" s="17"/>
      <c r="I36" s="17"/>
      <c r="J36" s="17"/>
      <c r="K36" s="17"/>
      <c r="L36" s="17"/>
      <c r="M36" s="17"/>
      <c r="N36" s="17"/>
      <c r="O36" s="17"/>
      <c r="P36" s="17"/>
      <c r="Q36" s="17"/>
      <c r="R36" s="1"/>
      <c r="S36" s="1"/>
      <c r="T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1" t="s">
        <v>14</v>
      </c>
      <c r="B37" s="15"/>
      <c r="C37" s="15"/>
      <c r="D37" s="15"/>
      <c r="E37" s="15"/>
      <c r="F37" s="17"/>
      <c r="I37" s="17"/>
      <c r="J37" s="17"/>
      <c r="K37" s="17"/>
      <c r="L37" s="17"/>
      <c r="M37" s="17"/>
      <c r="N37" s="17"/>
      <c r="O37" s="17"/>
      <c r="P37" s="17"/>
      <c r="Q37" s="17"/>
      <c r="R37" s="1"/>
      <c r="S37" s="1"/>
      <c r="T37" s="1"/>
      <c r="AF37" s="1"/>
      <c r="AG37" s="1"/>
      <c r="AH37" s="1"/>
      <c r="AI37" s="1"/>
      <c r="AJ37" s="1"/>
      <c r="AK37" s="1"/>
      <c r="AL37" s="1"/>
      <c r="AM37" s="1"/>
    </row>
    <row r="38" spans="1:39" ht="15">
      <c r="A38" s="1"/>
      <c r="B38" s="15"/>
      <c r="C38" s="15"/>
      <c r="D38" s="15"/>
      <c r="E38" s="15"/>
      <c r="F38" s="17"/>
      <c r="I38" s="17"/>
      <c r="J38" s="17"/>
      <c r="K38" s="17"/>
      <c r="L38" s="17"/>
      <c r="M38" s="17"/>
      <c r="N38" s="17"/>
      <c r="O38" s="17"/>
      <c r="P38" s="17"/>
      <c r="Q38" s="17"/>
      <c r="R38" s="1"/>
      <c r="S38" s="1"/>
      <c r="T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1" t="s">
        <v>15</v>
      </c>
      <c r="B39" s="15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"/>
      <c r="S39" s="1"/>
      <c r="T39" s="1"/>
      <c r="AF39" s="1"/>
      <c r="AG39" s="1"/>
      <c r="AH39" s="1"/>
      <c r="AI39" s="1"/>
      <c r="AJ39" s="1"/>
      <c r="AK39" s="1"/>
      <c r="AL39" s="1"/>
      <c r="AM39" s="1"/>
    </row>
    <row r="40" spans="1:39" ht="15">
      <c r="A40" s="1" t="s">
        <v>16</v>
      </c>
      <c r="B40" s="15"/>
      <c r="C40" s="15"/>
      <c r="D40" s="15"/>
      <c r="E40" s="1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"/>
      <c r="S40" s="1"/>
      <c r="T40" s="1"/>
      <c r="AF40" s="1"/>
      <c r="AG40" s="1"/>
      <c r="AH40" s="1"/>
      <c r="AI40" s="1"/>
      <c r="AJ40" s="1"/>
      <c r="AK40" s="1"/>
      <c r="AL40" s="1"/>
      <c r="AM40" s="1"/>
    </row>
    <row r="41" spans="1:39" ht="15">
      <c r="A41" s="1" t="s">
        <v>17</v>
      </c>
      <c r="B41" s="15"/>
      <c r="C41" s="15"/>
      <c r="D41" s="15"/>
      <c r="E41" s="1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"/>
      <c r="S41" s="1"/>
      <c r="T41" s="1"/>
      <c r="AF41" s="1"/>
      <c r="AG41" s="1"/>
      <c r="AH41" s="1"/>
      <c r="AI41" s="1"/>
      <c r="AJ41" s="1"/>
      <c r="AK41" s="1"/>
      <c r="AL41" s="1"/>
      <c r="AM41" s="1"/>
    </row>
    <row r="42" spans="1:39" ht="15">
      <c r="A42" s="1"/>
      <c r="B42" s="15"/>
      <c r="C42" s="15"/>
      <c r="D42" s="15"/>
      <c r="E42" s="15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"/>
      <c r="S42" s="1"/>
      <c r="T42" s="1"/>
      <c r="AF42" s="1"/>
      <c r="AG42" s="1"/>
      <c r="AH42" s="1"/>
      <c r="AI42" s="1"/>
      <c r="AJ42" s="1"/>
      <c r="AK42" s="1"/>
      <c r="AL42" s="1"/>
      <c r="AM42" s="1"/>
    </row>
    <row r="43" spans="1:39" ht="15">
      <c r="A43" s="1" t="s">
        <v>18</v>
      </c>
      <c r="B43" s="15"/>
      <c r="C43" s="15"/>
      <c r="D43" s="15"/>
      <c r="E43" s="1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"/>
      <c r="S43" s="1"/>
      <c r="T43" s="1"/>
      <c r="AF43" s="1"/>
      <c r="AG43" s="1"/>
      <c r="AH43" s="1"/>
      <c r="AI43" s="1"/>
      <c r="AJ43" s="1"/>
      <c r="AK43" s="1"/>
      <c r="AL43" s="1"/>
      <c r="AM43" s="1"/>
    </row>
    <row r="44" spans="1:39" ht="15">
      <c r="A44" s="1" t="s">
        <v>19</v>
      </c>
      <c r="B44" s="15"/>
      <c r="C44" s="15"/>
      <c r="D44" s="15"/>
      <c r="E44" s="1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"/>
      <c r="S44" s="1"/>
      <c r="T44" s="1"/>
      <c r="AF44" s="1"/>
      <c r="AG44" s="1"/>
      <c r="AH44" s="1"/>
      <c r="AI44" s="1"/>
      <c r="AJ44" s="1"/>
      <c r="AK44" s="1"/>
      <c r="AL44" s="1"/>
      <c r="AM44" s="1"/>
    </row>
    <row r="45" spans="1:39" ht="15">
      <c r="A45" s="1"/>
      <c r="B45" s="15"/>
      <c r="C45" s="15"/>
      <c r="D45" s="15"/>
      <c r="E45" s="1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1"/>
      <c r="T45" s="1"/>
      <c r="AF45" s="1"/>
      <c r="AG45" s="1"/>
      <c r="AH45" s="1"/>
      <c r="AI45" s="1"/>
      <c r="AJ45" s="1"/>
      <c r="AK45" s="1"/>
      <c r="AL45" s="1"/>
      <c r="AM45" s="1"/>
    </row>
    <row r="46" spans="1:39" ht="15">
      <c r="A46" s="1"/>
      <c r="B46" s="15"/>
      <c r="C46" s="15"/>
      <c r="D46" s="15"/>
      <c r="E46" s="1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1"/>
      <c r="T46" s="1"/>
      <c r="AF46" s="1"/>
      <c r="AG46" s="1"/>
      <c r="AH46" s="1"/>
      <c r="AI46" s="1"/>
      <c r="AJ46" s="1"/>
      <c r="AK46" s="1"/>
      <c r="AL46" s="1"/>
      <c r="AM46" s="1"/>
    </row>
    <row r="47" spans="1:39" ht="15">
      <c r="A47" s="1"/>
      <c r="B47" s="15"/>
      <c r="C47" s="15"/>
      <c r="D47" s="15"/>
      <c r="E47" s="15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"/>
      <c r="S47" s="1"/>
      <c r="T47" s="1"/>
      <c r="AF47" s="1"/>
      <c r="AG47" s="1"/>
      <c r="AH47" s="1"/>
      <c r="AI47" s="1"/>
      <c r="AJ47" s="1"/>
      <c r="AK47" s="1"/>
      <c r="AL47" s="1"/>
      <c r="AM47" s="1"/>
    </row>
    <row r="48" spans="1:39" ht="15">
      <c r="A48" s="1"/>
      <c r="B48" s="15"/>
      <c r="C48" s="15"/>
      <c r="D48" s="15"/>
      <c r="E48" s="1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"/>
      <c r="S48" s="1"/>
      <c r="T48" s="1"/>
      <c r="AF48" s="1"/>
      <c r="AG48" s="1"/>
      <c r="AH48" s="1"/>
      <c r="AI48" s="1"/>
      <c r="AJ48" s="1"/>
      <c r="AK48" s="1"/>
      <c r="AL48" s="1"/>
      <c r="AM48" s="1"/>
    </row>
    <row r="49" spans="1:39" ht="15">
      <c r="A49" s="1"/>
      <c r="B49" s="1"/>
      <c r="C49" s="1"/>
      <c r="D49" s="1"/>
      <c r="E49" s="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"/>
      <c r="S49" s="1"/>
      <c r="T49" s="1"/>
      <c r="AF49" s="1"/>
      <c r="AG49" s="1"/>
      <c r="AH49" s="1"/>
      <c r="AI49" s="1"/>
      <c r="AJ49" s="1"/>
      <c r="AK49" s="1"/>
      <c r="AL49" s="1"/>
      <c r="AM49" s="1"/>
    </row>
    <row r="50" spans="1:39" ht="15">
      <c r="A50" s="1"/>
      <c r="B50" s="1"/>
      <c r="C50" s="1"/>
      <c r="D50" s="1"/>
      <c r="E50" s="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"/>
      <c r="S50" s="1"/>
      <c r="T50" s="1"/>
      <c r="AF50" s="1"/>
      <c r="AG50" s="1"/>
      <c r="AH50" s="1"/>
      <c r="AI50" s="1"/>
      <c r="AJ50" s="1"/>
      <c r="AK50" s="1"/>
      <c r="AL50" s="1"/>
      <c r="AM50" s="1"/>
    </row>
    <row r="51" spans="1:39" ht="15">
      <c r="A51" s="1"/>
      <c r="B51" s="1"/>
      <c r="C51" s="1"/>
      <c r="D51" s="1"/>
      <c r="E51" s="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"/>
      <c r="S51" s="1"/>
      <c r="T51" s="1"/>
      <c r="AF51" s="1"/>
      <c r="AG51" s="1"/>
      <c r="AH51" s="1"/>
      <c r="AI51" s="1"/>
      <c r="AJ51" s="1"/>
      <c r="AK51" s="1"/>
      <c r="AL51" s="1"/>
      <c r="AM51" s="1"/>
    </row>
    <row r="52" spans="1:39" ht="15">
      <c r="A52" s="1"/>
      <c r="B52" s="1"/>
      <c r="C52" s="1"/>
      <c r="D52" s="1"/>
      <c r="E52" s="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"/>
      <c r="S52" s="1"/>
      <c r="T52" s="1"/>
      <c r="AF52" s="1"/>
      <c r="AG52" s="1"/>
      <c r="AH52" s="1"/>
      <c r="AI52" s="1"/>
      <c r="AJ52" s="1"/>
      <c r="AK52" s="1"/>
      <c r="AL52" s="1"/>
      <c r="AM52" s="1"/>
    </row>
    <row r="53" spans="1:39" ht="15">
      <c r="A53" s="1"/>
      <c r="B53" s="1"/>
      <c r="C53" s="1"/>
      <c r="D53" s="1"/>
      <c r="E53" s="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"/>
      <c r="S53" s="1"/>
      <c r="T53" s="1"/>
      <c r="AF53" s="1"/>
      <c r="AG53" s="1"/>
      <c r="AH53" s="1"/>
      <c r="AI53" s="1"/>
      <c r="AJ53" s="1"/>
      <c r="AK53" s="1"/>
      <c r="AL53" s="1"/>
      <c r="AM53" s="1"/>
    </row>
    <row r="54" spans="1:39" ht="15">
      <c r="A54" s="1"/>
      <c r="B54" s="1"/>
      <c r="C54" s="1"/>
      <c r="D54" s="1"/>
      <c r="E54" s="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"/>
      <c r="S54" s="1"/>
      <c r="T54" s="1"/>
      <c r="AF54" s="1"/>
      <c r="AG54" s="1"/>
      <c r="AH54" s="1"/>
      <c r="AI54" s="1"/>
      <c r="AJ54" s="1"/>
      <c r="AK54" s="1"/>
      <c r="AL54" s="1"/>
      <c r="AM54" s="1"/>
    </row>
    <row r="55" spans="1:39" ht="15">
      <c r="A55" s="1"/>
      <c r="B55" s="1"/>
      <c r="C55" s="1"/>
      <c r="D55" s="1"/>
      <c r="E55" s="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"/>
      <c r="S55" s="1"/>
      <c r="T55" s="1"/>
      <c r="AF55" s="1"/>
      <c r="AG55" s="1"/>
      <c r="AH55" s="1"/>
      <c r="AI55" s="1"/>
      <c r="AJ55" s="1"/>
      <c r="AK55" s="1"/>
      <c r="AL55" s="1"/>
      <c r="AM55" s="1"/>
    </row>
    <row r="56" spans="1:39" ht="15">
      <c r="A56" s="1"/>
      <c r="B56" s="1"/>
      <c r="C56" s="1"/>
      <c r="D56" s="1"/>
      <c r="E56" s="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"/>
      <c r="S56" s="1"/>
      <c r="T56" s="1"/>
      <c r="AF56" s="1"/>
      <c r="AG56" s="1"/>
      <c r="AH56" s="1"/>
      <c r="AI56" s="1"/>
      <c r="AJ56" s="1"/>
      <c r="AK56" s="1"/>
      <c r="AL56" s="1"/>
      <c r="AM56" s="1"/>
    </row>
    <row r="57" spans="1:39" ht="15">
      <c r="A57" s="1"/>
      <c r="B57" s="1"/>
      <c r="C57" s="1"/>
      <c r="D57" s="1"/>
      <c r="E57" s="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"/>
      <c r="S57" s="1"/>
      <c r="T57" s="1"/>
      <c r="AF57" s="1"/>
      <c r="AG57" s="1"/>
      <c r="AH57" s="1"/>
      <c r="AI57" s="1"/>
      <c r="AJ57" s="1"/>
      <c r="AK57" s="1"/>
      <c r="AL57" s="1"/>
      <c r="AM57" s="1"/>
    </row>
    <row r="58" spans="1:39" ht="15">
      <c r="A58" s="1"/>
      <c r="B58" s="1"/>
      <c r="C58" s="1"/>
      <c r="D58" s="1"/>
      <c r="E58" s="1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"/>
      <c r="S58" s="1"/>
      <c r="T58" s="1"/>
      <c r="AF58" s="1"/>
      <c r="AG58" s="1"/>
      <c r="AH58" s="1"/>
      <c r="AI58" s="1"/>
      <c r="AJ58" s="1"/>
      <c r="AK58" s="1"/>
      <c r="AL58" s="1"/>
      <c r="AM58" s="1"/>
    </row>
    <row r="59" spans="1:39" ht="15">
      <c r="A59" s="1"/>
      <c r="B59" s="1"/>
      <c r="C59" s="1"/>
      <c r="D59" s="1"/>
      <c r="E59" s="1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"/>
      <c r="S59" s="1"/>
      <c r="T59" s="1"/>
      <c r="AF59" s="1"/>
      <c r="AG59" s="1"/>
      <c r="AH59" s="1"/>
      <c r="AI59" s="1"/>
      <c r="AJ59" s="1"/>
      <c r="AK59" s="1"/>
      <c r="AL59" s="1"/>
      <c r="AM59" s="1"/>
    </row>
    <row r="60" spans="1:39" ht="15">
      <c r="A60" s="1"/>
      <c r="B60" s="1"/>
      <c r="C60" s="1"/>
      <c r="D60" s="1"/>
      <c r="E60" s="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"/>
      <c r="S60" s="1"/>
      <c r="T60" s="1"/>
      <c r="AF60" s="1"/>
      <c r="AG60" s="1"/>
      <c r="AH60" s="1"/>
      <c r="AI60" s="1"/>
      <c r="AJ60" s="1"/>
      <c r="AK60" s="1"/>
      <c r="AL60" s="1"/>
      <c r="AM60" s="1"/>
    </row>
    <row r="61" spans="1:39" ht="15">
      <c r="A61" s="1"/>
      <c r="B61" s="1"/>
      <c r="C61" s="1"/>
      <c r="D61" s="1"/>
      <c r="E61" s="1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"/>
      <c r="S61" s="1"/>
      <c r="T61" s="1"/>
      <c r="AF61" s="1"/>
      <c r="AG61" s="1"/>
      <c r="AH61" s="1"/>
      <c r="AI61" s="1"/>
      <c r="AJ61" s="1"/>
      <c r="AK61" s="1"/>
      <c r="AL61" s="1"/>
      <c r="AM61" s="1"/>
    </row>
    <row r="62" spans="1:39" ht="15">
      <c r="A62" s="1"/>
      <c r="B62" s="1"/>
      <c r="C62" s="1"/>
      <c r="D62" s="1"/>
      <c r="E62" s="1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"/>
      <c r="S62" s="1"/>
      <c r="T62" s="1"/>
      <c r="AF62" s="1"/>
      <c r="AG62" s="1"/>
      <c r="AH62" s="1"/>
      <c r="AI62" s="1"/>
      <c r="AJ62" s="1"/>
      <c r="AK62" s="1"/>
      <c r="AL62" s="1"/>
      <c r="AM62" s="1"/>
    </row>
    <row r="63" spans="1:39" ht="15">
      <c r="A63" s="1"/>
      <c r="B63" s="1"/>
      <c r="C63" s="1"/>
      <c r="D63" s="1"/>
      <c r="E63" s="1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"/>
      <c r="S63" s="1"/>
      <c r="T63" s="1"/>
      <c r="AF63" s="1"/>
      <c r="AG63" s="1"/>
      <c r="AH63" s="1"/>
      <c r="AI63" s="1"/>
      <c r="AJ63" s="1"/>
      <c r="AK63" s="1"/>
      <c r="AL63" s="1"/>
      <c r="AM63" s="1"/>
    </row>
    <row r="64" spans="1:39" ht="15">
      <c r="A64" s="1"/>
      <c r="B64" s="1"/>
      <c r="C64" s="1"/>
      <c r="D64" s="1"/>
      <c r="E64" s="1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"/>
      <c r="S64" s="1"/>
      <c r="T64" s="1"/>
      <c r="AF64" s="1"/>
      <c r="AG64" s="1"/>
      <c r="AH64" s="1"/>
      <c r="AI64" s="1"/>
      <c r="AJ64" s="1"/>
      <c r="AK64" s="1"/>
      <c r="AL64" s="1"/>
      <c r="AM64" s="1"/>
    </row>
    <row r="65" spans="1:39" ht="15">
      <c r="A65" s="1"/>
      <c r="B65" s="1"/>
      <c r="C65" s="1"/>
      <c r="D65" s="1"/>
      <c r="E65" s="1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"/>
      <c r="S65" s="1"/>
      <c r="T65" s="1"/>
      <c r="AF65" s="1"/>
      <c r="AG65" s="1"/>
      <c r="AH65" s="1"/>
      <c r="AI65" s="1"/>
      <c r="AJ65" s="1"/>
      <c r="AK65" s="1"/>
      <c r="AL65" s="1"/>
      <c r="AM65" s="1"/>
    </row>
    <row r="66" spans="1:39" ht="15">
      <c r="A66" s="1"/>
      <c r="B66" s="1"/>
      <c r="C66" s="1"/>
      <c r="D66" s="1"/>
      <c r="E66" s="1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"/>
      <c r="S66" s="1"/>
      <c r="T66" s="1"/>
      <c r="AF66" s="1"/>
      <c r="AG66" s="1"/>
      <c r="AH66" s="1"/>
      <c r="AI66" s="1"/>
      <c r="AJ66" s="1"/>
      <c r="AK66" s="1"/>
      <c r="AL66" s="1"/>
      <c r="AM66" s="1"/>
    </row>
    <row r="67" spans="1:39" ht="15">
      <c r="A67" s="1"/>
      <c r="B67" s="1"/>
      <c r="C67" s="1"/>
      <c r="D67" s="1"/>
      <c r="E67" s="1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"/>
      <c r="S67" s="1"/>
      <c r="T67" s="1"/>
      <c r="AF67" s="1"/>
      <c r="AG67" s="1"/>
      <c r="AH67" s="1"/>
      <c r="AI67" s="1"/>
      <c r="AJ67" s="1"/>
      <c r="AK67" s="1"/>
      <c r="AL67" s="1"/>
      <c r="AM67" s="1"/>
    </row>
    <row r="68" spans="1:39" ht="15">
      <c r="A68" s="1"/>
      <c r="B68" s="1"/>
      <c r="C68" s="1"/>
      <c r="D68" s="1"/>
      <c r="E68" s="1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"/>
      <c r="S68" s="1"/>
      <c r="T68" s="1"/>
      <c r="AF68" s="1"/>
      <c r="AG68" s="1"/>
      <c r="AH68" s="1"/>
      <c r="AI68" s="1"/>
      <c r="AJ68" s="1"/>
      <c r="AK68" s="1"/>
      <c r="AL68" s="1"/>
      <c r="AM68" s="1"/>
    </row>
    <row r="69" spans="1:39" ht="15">
      <c r="A69" s="1"/>
      <c r="B69" s="1"/>
      <c r="C69" s="1"/>
      <c r="D69" s="1"/>
      <c r="E69" s="1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"/>
      <c r="S69" s="1"/>
      <c r="T69" s="1"/>
      <c r="AF69" s="1"/>
      <c r="AG69" s="1"/>
      <c r="AH69" s="1"/>
      <c r="AI69" s="1"/>
      <c r="AJ69" s="1"/>
      <c r="AK69" s="1"/>
      <c r="AL69" s="1"/>
      <c r="AM69" s="1"/>
    </row>
    <row r="70" spans="1:39" ht="15">
      <c r="A70" s="1"/>
      <c r="B70" s="1"/>
      <c r="C70" s="1"/>
      <c r="D70" s="1"/>
      <c r="E70" s="1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"/>
      <c r="S70" s="1"/>
      <c r="T70" s="1"/>
      <c r="AF70" s="1"/>
      <c r="AG70" s="1"/>
      <c r="AH70" s="1"/>
      <c r="AI70" s="1"/>
      <c r="AJ70" s="1"/>
      <c r="AK70" s="1"/>
      <c r="AL70" s="1"/>
      <c r="AM70" s="1"/>
    </row>
    <row r="71" spans="1:39" ht="15">
      <c r="A71" s="1"/>
      <c r="B71" s="1"/>
      <c r="C71" s="1"/>
      <c r="D71" s="1"/>
      <c r="E71" s="1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"/>
      <c r="S71" s="1"/>
      <c r="T71" s="1"/>
      <c r="AF71" s="1"/>
      <c r="AG71" s="1"/>
      <c r="AH71" s="1"/>
      <c r="AI71" s="1"/>
      <c r="AJ71" s="1"/>
      <c r="AK71" s="1"/>
      <c r="AL71" s="1"/>
      <c r="AM71" s="1"/>
    </row>
    <row r="72" spans="1:39" ht="15">
      <c r="A72" s="1"/>
      <c r="B72" s="1"/>
      <c r="C72" s="1"/>
      <c r="D72" s="1"/>
      <c r="E72" s="1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"/>
      <c r="S72" s="1"/>
      <c r="T72" s="1"/>
      <c r="AF72" s="1"/>
      <c r="AG72" s="1"/>
      <c r="AH72" s="1"/>
      <c r="AI72" s="1"/>
      <c r="AJ72" s="1"/>
      <c r="AK72" s="1"/>
      <c r="AL72" s="1"/>
      <c r="AM72" s="1"/>
    </row>
    <row r="73" spans="1:39" ht="15">
      <c r="A73" s="1"/>
      <c r="B73" s="1"/>
      <c r="C73" s="1"/>
      <c r="D73" s="1"/>
      <c r="E73" s="1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"/>
      <c r="S73" s="1"/>
      <c r="T73" s="1"/>
      <c r="AF73" s="1"/>
      <c r="AG73" s="1"/>
      <c r="AH73" s="1"/>
      <c r="AI73" s="1"/>
      <c r="AJ73" s="1"/>
      <c r="AK73" s="1"/>
      <c r="AL73" s="1"/>
      <c r="AM73" s="1"/>
    </row>
    <row r="74" spans="1:39" ht="15">
      <c r="A74" s="1"/>
      <c r="B74" s="1"/>
      <c r="C74" s="1"/>
      <c r="D74" s="1"/>
      <c r="E74" s="1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"/>
      <c r="S74" s="1"/>
      <c r="T74" s="1"/>
      <c r="AF74" s="1"/>
      <c r="AG74" s="1"/>
      <c r="AH74" s="1"/>
      <c r="AI74" s="1"/>
      <c r="AJ74" s="1"/>
      <c r="AK74" s="1"/>
      <c r="AL74" s="1"/>
      <c r="AM74" s="1"/>
    </row>
    <row r="75" spans="1:39" ht="15">
      <c r="A75" s="1"/>
      <c r="B75" s="1"/>
      <c r="C75" s="1"/>
      <c r="D75" s="1"/>
      <c r="E75" s="1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"/>
      <c r="S75" s="1"/>
      <c r="T75" s="1"/>
      <c r="AF75" s="1"/>
      <c r="AG75" s="1"/>
      <c r="AH75" s="1"/>
      <c r="AI75" s="1"/>
      <c r="AJ75" s="1"/>
      <c r="AK75" s="1"/>
      <c r="AL75" s="1"/>
      <c r="AM75" s="1"/>
    </row>
    <row r="76" spans="1:39" ht="15">
      <c r="A76" s="1"/>
      <c r="B76" s="1"/>
      <c r="C76" s="1"/>
      <c r="D76" s="1"/>
      <c r="E76" s="1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"/>
      <c r="S76" s="1"/>
      <c r="T76" s="1"/>
      <c r="AF76" s="1"/>
      <c r="AG76" s="1"/>
      <c r="AH76" s="1"/>
      <c r="AI76" s="1"/>
      <c r="AJ76" s="1"/>
      <c r="AK76" s="1"/>
      <c r="AL76" s="1"/>
      <c r="AM76" s="1"/>
    </row>
    <row r="77" spans="1:39" ht="15">
      <c r="A77" s="1"/>
      <c r="B77" s="1"/>
      <c r="C77" s="1"/>
      <c r="D77" s="1"/>
      <c r="E77" s="1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"/>
      <c r="S77" s="1"/>
      <c r="T77" s="1"/>
      <c r="AF77" s="1"/>
      <c r="AG77" s="1"/>
      <c r="AH77" s="1"/>
      <c r="AI77" s="1"/>
      <c r="AJ77" s="1"/>
      <c r="AK77" s="1"/>
      <c r="AL77" s="1"/>
      <c r="AM77" s="1"/>
    </row>
    <row r="78" spans="1:39" ht="15">
      <c r="A78" s="1"/>
      <c r="B78" s="1"/>
      <c r="C78" s="1"/>
      <c r="D78" s="1"/>
      <c r="E78" s="1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"/>
      <c r="S78" s="1"/>
      <c r="T78" s="1"/>
      <c r="AF78" s="1"/>
      <c r="AG78" s="1"/>
      <c r="AH78" s="1"/>
      <c r="AI78" s="1"/>
      <c r="AJ78" s="1"/>
      <c r="AK78" s="1"/>
      <c r="AL78" s="1"/>
      <c r="AM78" s="1"/>
    </row>
    <row r="79" spans="1:39" ht="15">
      <c r="A79" s="1"/>
      <c r="B79" s="1"/>
      <c r="C79" s="1"/>
      <c r="D79" s="1"/>
      <c r="E79" s="1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"/>
      <c r="S79" s="1"/>
      <c r="T79" s="1"/>
      <c r="AF79" s="1"/>
      <c r="AG79" s="1"/>
      <c r="AH79" s="1"/>
      <c r="AI79" s="1"/>
      <c r="AJ79" s="1"/>
      <c r="AK79" s="1"/>
      <c r="AL79" s="1"/>
      <c r="AM79" s="1"/>
    </row>
    <row r="80" spans="1:39" ht="15">
      <c r="A80" s="1"/>
      <c r="B80" s="1"/>
      <c r="C80" s="1"/>
      <c r="D80" s="1"/>
      <c r="E80" s="1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"/>
      <c r="S80" s="1"/>
      <c r="T80" s="1"/>
      <c r="AF80" s="1"/>
      <c r="AG80" s="1"/>
      <c r="AH80" s="1"/>
      <c r="AI80" s="1"/>
      <c r="AJ80" s="1"/>
      <c r="AK80" s="1"/>
      <c r="AL80" s="1"/>
      <c r="AM80" s="1"/>
    </row>
    <row r="81" spans="1:39" ht="15">
      <c r="A81" s="1"/>
      <c r="B81" s="1"/>
      <c r="C81" s="1"/>
      <c r="D81" s="1"/>
      <c r="E81" s="1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"/>
      <c r="S81" s="1"/>
      <c r="T81" s="1"/>
      <c r="AF81" s="1"/>
      <c r="AG81" s="1"/>
      <c r="AH81" s="1"/>
      <c r="AI81" s="1"/>
      <c r="AJ81" s="1"/>
      <c r="AK81" s="1"/>
      <c r="AL81" s="1"/>
      <c r="AM81" s="1"/>
    </row>
    <row r="82" spans="1:39" ht="15">
      <c r="A82" s="1"/>
      <c r="B82" s="1"/>
      <c r="C82" s="1"/>
      <c r="D82" s="1"/>
      <c r="E82" s="1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"/>
      <c r="S82" s="1"/>
      <c r="T82" s="1"/>
      <c r="AF82" s="1"/>
      <c r="AG82" s="1"/>
      <c r="AH82" s="1"/>
      <c r="AI82" s="1"/>
      <c r="AJ82" s="1"/>
      <c r="AK82" s="1"/>
      <c r="AL82" s="1"/>
      <c r="AM82" s="1"/>
    </row>
    <row r="83" spans="1:39" ht="15">
      <c r="A83" s="1"/>
      <c r="B83" s="1"/>
      <c r="C83" s="1"/>
      <c r="D83" s="1"/>
      <c r="E83" s="1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"/>
      <c r="S83" s="1"/>
      <c r="T83" s="1"/>
      <c r="AF83" s="1"/>
      <c r="AG83" s="1"/>
      <c r="AH83" s="1"/>
      <c r="AI83" s="1"/>
      <c r="AJ83" s="1"/>
      <c r="AK83" s="1"/>
      <c r="AL83" s="1"/>
      <c r="AM83" s="1"/>
    </row>
    <row r="84" spans="1:39" ht="15">
      <c r="A84" s="1"/>
      <c r="B84" s="1"/>
      <c r="C84" s="1"/>
      <c r="D84" s="1"/>
      <c r="E84" s="1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>
      <c r="A85" s="1"/>
      <c r="B85" s="1"/>
      <c r="C85" s="1"/>
      <c r="D85" s="1"/>
      <c r="E85" s="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>
      <c r="A86" s="1"/>
      <c r="B86" s="1"/>
      <c r="C86" s="1"/>
      <c r="D86" s="1"/>
      <c r="E86" s="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">
      <c r="A87" s="1"/>
      <c r="B87" s="1"/>
      <c r="C87" s="1"/>
      <c r="D87" s="1"/>
      <c r="E87" s="1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">
      <c r="A88" s="1"/>
      <c r="B88" s="1"/>
      <c r="C88" s="1"/>
      <c r="D88" s="1"/>
      <c r="E88" s="1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">
      <c r="A89" s="1"/>
      <c r="B89" s="1"/>
      <c r="C89" s="1"/>
      <c r="D89" s="1"/>
      <c r="E89" s="1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">
      <c r="A90" s="1"/>
      <c r="B90" s="1"/>
      <c r="C90" s="1"/>
      <c r="D90" s="1"/>
      <c r="E90" s="1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>
      <c r="A91" s="1"/>
      <c r="B91" s="1"/>
      <c r="C91" s="1"/>
      <c r="D91" s="1"/>
      <c r="E91" s="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">
      <c r="A92" s="1"/>
      <c r="B92" s="1"/>
      <c r="C92" s="1"/>
      <c r="D92" s="1"/>
      <c r="E92" s="1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">
      <c r="A93" s="1"/>
      <c r="B93" s="1"/>
      <c r="C93" s="1"/>
      <c r="D93" s="1"/>
      <c r="E93" s="1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">
      <c r="A94" s="1"/>
      <c r="B94" s="1"/>
      <c r="C94" s="1"/>
      <c r="D94" s="1"/>
      <c r="E94" s="1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">
      <c r="A95" s="1"/>
      <c r="B95" s="1"/>
      <c r="C95" s="1"/>
      <c r="D95" s="1"/>
      <c r="E95" s="1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">
      <c r="A96" s="1"/>
      <c r="B96" s="1"/>
      <c r="C96" s="1"/>
      <c r="D96" s="1"/>
      <c r="E96" s="1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">
      <c r="A97" s="1"/>
      <c r="B97" s="1"/>
      <c r="C97" s="1"/>
      <c r="D97" s="1"/>
      <c r="E97" s="1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">
      <c r="A98" s="1"/>
      <c r="B98" s="1"/>
      <c r="C98" s="1"/>
      <c r="D98" s="1"/>
      <c r="E98" s="1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">
      <c r="A99" s="1"/>
      <c r="B99" s="1"/>
      <c r="C99" s="1"/>
      <c r="D99" s="1"/>
      <c r="E99" s="1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">
      <c r="A100" s="1"/>
      <c r="B100" s="1"/>
      <c r="C100" s="1"/>
      <c r="D100" s="1"/>
      <c r="E100" s="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>
      <c r="A101" s="1"/>
      <c r="B101" s="1"/>
      <c r="C101" s="1"/>
      <c r="D101" s="1"/>
      <c r="E101" s="1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">
      <c r="A102" s="1"/>
      <c r="B102" s="1"/>
      <c r="C102" s="1"/>
      <c r="D102" s="1"/>
      <c r="E102" s="1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">
      <c r="A103" s="1"/>
      <c r="B103" s="1"/>
      <c r="C103" s="1"/>
      <c r="D103" s="1"/>
      <c r="E103" s="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">
      <c r="A104" s="1"/>
      <c r="B104" s="1"/>
      <c r="C104" s="1"/>
      <c r="D104" s="1"/>
      <c r="E104" s="1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">
      <c r="A105" s="1"/>
      <c r="B105" s="1"/>
      <c r="C105" s="1"/>
      <c r="D105" s="1"/>
      <c r="E105" s="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">
      <c r="A106" s="1"/>
      <c r="B106" s="1"/>
      <c r="C106" s="1"/>
      <c r="D106" s="1"/>
      <c r="E106" s="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">
      <c r="A107" s="1"/>
      <c r="B107" s="1"/>
      <c r="C107" s="1"/>
      <c r="D107" s="1"/>
      <c r="E107" s="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">
      <c r="A108" s="1"/>
      <c r="B108" s="1"/>
      <c r="C108" s="1"/>
      <c r="D108" s="1"/>
      <c r="E108" s="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>
      <c r="A109" s="1"/>
      <c r="B109" s="1"/>
      <c r="C109" s="1"/>
      <c r="D109" s="1"/>
      <c r="E109" s="1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">
      <c r="A110" s="1"/>
      <c r="B110" s="1"/>
      <c r="C110" s="1"/>
      <c r="D110" s="1"/>
      <c r="E110" s="1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">
      <c r="A111" s="1"/>
      <c r="B111" s="1"/>
      <c r="C111" s="1"/>
      <c r="D111" s="1"/>
      <c r="E111" s="1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">
      <c r="A112" s="1"/>
      <c r="B112" s="1"/>
      <c r="C112" s="1"/>
      <c r="D112" s="1"/>
      <c r="E112" s="1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">
      <c r="A113" s="1"/>
      <c r="B113" s="1"/>
      <c r="C113" s="1"/>
      <c r="D113" s="1"/>
      <c r="E113" s="1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">
      <c r="A114" s="1"/>
      <c r="B114" s="1"/>
      <c r="C114" s="1"/>
      <c r="D114" s="1"/>
      <c r="E114" s="1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">
      <c r="A115" s="1"/>
      <c r="B115" s="1"/>
      <c r="C115" s="1"/>
      <c r="D115" s="1"/>
      <c r="E115" s="1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">
      <c r="A116" s="1"/>
      <c r="B116" s="1"/>
      <c r="C116" s="1"/>
      <c r="D116" s="1"/>
      <c r="E116" s="1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">
      <c r="A117" s="1"/>
      <c r="B117" s="1"/>
      <c r="C117" s="1"/>
      <c r="D117" s="1"/>
      <c r="E117" s="1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">
      <c r="A118" s="1"/>
      <c r="B118" s="1"/>
      <c r="C118" s="1"/>
      <c r="D118" s="1"/>
      <c r="E118" s="1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">
      <c r="A119" s="1"/>
      <c r="B119" s="1"/>
      <c r="C119" s="1"/>
      <c r="D119" s="1"/>
      <c r="E119" s="1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">
      <c r="A120" s="1"/>
      <c r="B120" s="1"/>
      <c r="C120" s="1"/>
      <c r="D120" s="1"/>
      <c r="E120" s="1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">
      <c r="A121" s="1"/>
      <c r="B121" s="1"/>
      <c r="C121" s="1"/>
      <c r="D121" s="1"/>
      <c r="E121" s="1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">
      <c r="A122" s="1"/>
      <c r="B122" s="1"/>
      <c r="C122" s="1"/>
      <c r="D122" s="1"/>
      <c r="E122" s="1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">
      <c r="A123" s="1"/>
      <c r="B123" s="1"/>
      <c r="C123" s="1"/>
      <c r="D123" s="1"/>
      <c r="E123" s="1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6:39" ht="15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6:17" ht="15">
      <c r="F125" s="18"/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6:17" ht="12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6:17" ht="12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6:17" ht="12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6:17" ht="12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6:17" ht="12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6:17" ht="12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6:17" ht="12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6:17" ht="12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6:17" ht="12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6:17" ht="12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6:17" ht="12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6:17" ht="12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6:17" ht="12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6:17" ht="12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6:17" ht="12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6:17" ht="12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7:8" ht="12.75">
      <c r="G142" s="18"/>
      <c r="H142" s="18"/>
    </row>
  </sheetData>
  <sheetProtection/>
  <mergeCells count="7">
    <mergeCell ref="A3:Q3"/>
    <mergeCell ref="F4:H4"/>
    <mergeCell ref="L4:N4"/>
    <mergeCell ref="I4:K4"/>
    <mergeCell ref="B4:E4"/>
    <mergeCell ref="O4:Q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7109375" style="0" customWidth="1"/>
    <col min="2" max="7" width="15.7109375" style="0" customWidth="1"/>
  </cols>
  <sheetData>
    <row r="1" ht="12.75">
      <c r="A1" s="72"/>
    </row>
    <row r="2" ht="12.75">
      <c r="A2" s="72"/>
    </row>
    <row r="3" ht="13.5" thickBot="1"/>
    <row r="4" spans="1:7" ht="13.5" thickTop="1">
      <c r="A4" s="192" t="s">
        <v>124</v>
      </c>
      <c r="B4" s="193"/>
      <c r="C4" s="193"/>
      <c r="D4" s="193"/>
      <c r="E4" s="193"/>
      <c r="F4" s="193"/>
      <c r="G4" s="194"/>
    </row>
    <row r="5" spans="1:7" ht="12.75">
      <c r="A5" s="198"/>
      <c r="B5" s="199"/>
      <c r="C5" s="199"/>
      <c r="D5" s="199"/>
      <c r="E5" s="199"/>
      <c r="F5" s="199"/>
      <c r="G5" s="200"/>
    </row>
    <row r="6" spans="1:7" ht="13.5" thickBot="1">
      <c r="A6" s="201"/>
      <c r="B6" s="202"/>
      <c r="C6" s="202"/>
      <c r="D6" s="202"/>
      <c r="E6" s="202"/>
      <c r="F6" s="202"/>
      <c r="G6" s="203"/>
    </row>
    <row r="7" spans="1:7" ht="15.75" thickBot="1" thickTop="1">
      <c r="A7" s="1"/>
      <c r="B7" s="1"/>
      <c r="C7" s="1"/>
      <c r="D7" s="1"/>
      <c r="E7" s="1"/>
      <c r="F7" s="1"/>
      <c r="G7" s="1"/>
    </row>
    <row r="8" spans="1:8" ht="45.75" thickBot="1" thickTop="1">
      <c r="A8" s="205"/>
      <c r="B8" s="128" t="s">
        <v>125</v>
      </c>
      <c r="C8" s="128" t="s">
        <v>126</v>
      </c>
      <c r="D8" s="128" t="s">
        <v>127</v>
      </c>
      <c r="E8" s="128" t="s">
        <v>130</v>
      </c>
      <c r="F8" s="128" t="s">
        <v>132</v>
      </c>
      <c r="G8" s="128" t="s">
        <v>130</v>
      </c>
      <c r="H8" s="73"/>
    </row>
    <row r="9" spans="1:8" ht="16.5" thickBot="1" thickTop="1">
      <c r="A9" s="206"/>
      <c r="B9" s="204" t="s">
        <v>128</v>
      </c>
      <c r="C9" s="204"/>
      <c r="D9" s="204" t="s">
        <v>129</v>
      </c>
      <c r="E9" s="204"/>
      <c r="F9" s="129" t="s">
        <v>133</v>
      </c>
      <c r="G9" s="129" t="s">
        <v>131</v>
      </c>
      <c r="H9" s="73"/>
    </row>
    <row r="10" spans="1:7" ht="15" thickTop="1">
      <c r="A10" s="133">
        <f aca="true" t="shared" si="0" ref="A10:A17">A11-10</f>
        <v>1820</v>
      </c>
      <c r="B10" s="130">
        <v>0.0805555555555556</v>
      </c>
      <c r="C10" s="130">
        <v>0.300154893894822</v>
      </c>
      <c r="D10" s="130">
        <v>0.04834817999120861</v>
      </c>
      <c r="E10" s="130">
        <v>0.058348179991208615</v>
      </c>
      <c r="F10" s="130">
        <f>0.970367844643172%+0.002</f>
        <v>0.01170367844643172</v>
      </c>
      <c r="G10" s="130">
        <v>0.05368032559191193</v>
      </c>
    </row>
    <row r="11" spans="1:7" ht="15">
      <c r="A11" s="135">
        <f t="shared" si="0"/>
        <v>1830</v>
      </c>
      <c r="B11" s="132">
        <v>0.08185567010309279</v>
      </c>
      <c r="C11" s="132">
        <v>0.34634090420454067</v>
      </c>
      <c r="D11" s="132">
        <v>0.05196422183162336</v>
      </c>
      <c r="E11" s="132">
        <v>0.06196422183162336</v>
      </c>
      <c r="F11" s="132">
        <v>0.009703678446431718</v>
      </c>
      <c r="G11" s="132">
        <v>0.057007084085093494</v>
      </c>
    </row>
    <row r="12" spans="1:7" ht="15">
      <c r="A12" s="135">
        <f t="shared" si="0"/>
        <v>1840</v>
      </c>
      <c r="B12" s="132">
        <v>0.09550847457627118</v>
      </c>
      <c r="C12" s="132">
        <v>0.36596886780048177</v>
      </c>
      <c r="D12" s="132">
        <v>0.056878191068281674</v>
      </c>
      <c r="E12" s="132">
        <f>6.68781910682817%</f>
        <v>0.06687819106828169</v>
      </c>
      <c r="F12" s="132">
        <v>0.01769143554203345</v>
      </c>
      <c r="G12" s="132">
        <v>0.06152793578281914</v>
      </c>
    </row>
    <row r="13" spans="1:7" ht="15">
      <c r="A13" s="135">
        <f t="shared" si="0"/>
        <v>1850</v>
      </c>
      <c r="B13" s="132">
        <v>0.10119047619047619</v>
      </c>
      <c r="C13" s="132">
        <v>0.44261277397857324</v>
      </c>
      <c r="D13" s="132">
        <v>0.06506049713048698</v>
      </c>
      <c r="E13" s="132">
        <f>7.8060497130487%</f>
        <v>0.078060497130487</v>
      </c>
      <c r="F13" s="132">
        <v>0.018281389002988035</v>
      </c>
      <c r="G13" s="132">
        <v>0.07181565736004802</v>
      </c>
    </row>
    <row r="14" spans="1:7" ht="15">
      <c r="A14" s="135">
        <f t="shared" si="0"/>
        <v>1860</v>
      </c>
      <c r="B14" s="132">
        <v>0.0929946524064171</v>
      </c>
      <c r="C14" s="132">
        <v>0.4436614297481517</v>
      </c>
      <c r="D14" s="132">
        <v>0.0603048099537396</v>
      </c>
      <c r="E14" s="132">
        <f>7.33048099537396%</f>
        <v>0.0733048099537396</v>
      </c>
      <c r="F14" s="132">
        <v>0.009419872777271854</v>
      </c>
      <c r="G14" s="132">
        <v>0.06744042515744043</v>
      </c>
    </row>
    <row r="15" spans="1:7" ht="15">
      <c r="A15" s="135">
        <f t="shared" si="0"/>
        <v>1870</v>
      </c>
      <c r="B15" s="132">
        <v>0.07752427184466018</v>
      </c>
      <c r="C15" s="132">
        <v>0.41626490472361966</v>
      </c>
      <c r="D15" s="132">
        <v>0.057767210530884176</v>
      </c>
      <c r="E15" s="132">
        <f>6.77672105308842%</f>
        <v>0.0677672105308842</v>
      </c>
      <c r="F15" s="132">
        <f>-0.0138781185474168%+0.002</f>
        <v>0.001861218814525832</v>
      </c>
      <c r="G15" s="132">
        <v>0.06234583368841345</v>
      </c>
    </row>
    <row r="16" spans="1:7" ht="15">
      <c r="A16" s="135">
        <f t="shared" si="0"/>
        <v>1880</v>
      </c>
      <c r="B16" s="132">
        <v>0.09047738693467337</v>
      </c>
      <c r="C16" s="132">
        <v>0.29879843966349606</v>
      </c>
      <c r="D16" s="132">
        <v>0.04038459788871219</v>
      </c>
      <c r="E16" s="132">
        <v>0.045384597888712186</v>
      </c>
      <c r="F16" s="132">
        <f>-0.0860478330449888%+0.002</f>
        <v>0.001139521669550112</v>
      </c>
      <c r="G16" s="132">
        <v>0.04175383005761521</v>
      </c>
    </row>
    <row r="17" spans="1:7" ht="15">
      <c r="A17" s="135">
        <f t="shared" si="0"/>
        <v>1890</v>
      </c>
      <c r="B17" s="132">
        <v>0.10009174311926607</v>
      </c>
      <c r="C17" s="132">
        <v>0.25625791735405745</v>
      </c>
      <c r="D17" s="132">
        <v>0.03598181662802763</v>
      </c>
      <c r="E17" s="132">
        <v>0.04098181662802763</v>
      </c>
      <c r="F17" s="132">
        <v>0.013934737692663735</v>
      </c>
      <c r="G17" s="132">
        <v>0.03770327129778542</v>
      </c>
    </row>
    <row r="18" spans="1:7" ht="15">
      <c r="A18" s="135">
        <v>1900</v>
      </c>
      <c r="B18" s="132">
        <v>0.07080724816053549</v>
      </c>
      <c r="C18" s="132">
        <v>0.2605568326196278</v>
      </c>
      <c r="D18" s="132">
        <v>0.03723747180401329</v>
      </c>
      <c r="E18" s="132">
        <v>0.042237471804013285</v>
      </c>
      <c r="F18" s="132">
        <v>0.010993689968294529</v>
      </c>
      <c r="G18" s="132">
        <v>0.03792442734480346</v>
      </c>
    </row>
    <row r="19" spans="1:7" ht="15" thickBot="1">
      <c r="A19" s="134">
        <v>1910</v>
      </c>
      <c r="B19" s="131">
        <v>0.08269682348522722</v>
      </c>
      <c r="C19" s="131">
        <v>0.3434997539835892</v>
      </c>
      <c r="D19" s="131">
        <v>0.04577965314110154</v>
      </c>
      <c r="E19" s="131">
        <v>0.05577965314110154</v>
      </c>
      <c r="F19" s="131">
        <v>0.005758404391572602</v>
      </c>
      <c r="G19" s="131">
        <v>0.051040716451078987</v>
      </c>
    </row>
    <row r="20" spans="1:7" ht="15" thickTop="1">
      <c r="A20" s="1"/>
      <c r="B20" s="1"/>
      <c r="C20" s="1"/>
      <c r="D20" s="1"/>
      <c r="E20" s="1"/>
      <c r="F20" s="1"/>
      <c r="G20" s="1"/>
    </row>
    <row r="21" spans="1:7" ht="15">
      <c r="A21" s="1" t="s">
        <v>123</v>
      </c>
      <c r="B21" s="1"/>
      <c r="C21" s="1"/>
      <c r="D21" s="1"/>
      <c r="E21" s="1"/>
      <c r="F21" s="1"/>
      <c r="G21" s="1"/>
    </row>
    <row r="22" spans="1:7" ht="45">
      <c r="A22" s="127" t="s">
        <v>58</v>
      </c>
      <c r="B22" s="127" t="s">
        <v>57</v>
      </c>
      <c r="C22" s="127" t="s">
        <v>57</v>
      </c>
      <c r="D22" s="127"/>
      <c r="E22" s="127" t="s">
        <v>57</v>
      </c>
      <c r="F22" s="127" t="s">
        <v>57</v>
      </c>
      <c r="G22" s="127" t="s">
        <v>57</v>
      </c>
    </row>
    <row r="23" spans="1:7" ht="15">
      <c r="A23" s="1"/>
      <c r="B23" s="2" t="s">
        <v>53</v>
      </c>
      <c r="C23" s="2" t="s">
        <v>54</v>
      </c>
      <c r="D23" s="2"/>
      <c r="E23" s="2" t="s">
        <v>55</v>
      </c>
      <c r="F23" s="2" t="s">
        <v>55</v>
      </c>
      <c r="G23" s="2" t="s">
        <v>56</v>
      </c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 t="s">
        <v>66</v>
      </c>
      <c r="B25" s="1"/>
      <c r="C25" s="1"/>
      <c r="D25" s="1"/>
      <c r="E25" s="1"/>
      <c r="F25" s="1"/>
      <c r="G25" s="1"/>
    </row>
  </sheetData>
  <sheetProtection/>
  <mergeCells count="4">
    <mergeCell ref="A4:G6"/>
    <mergeCell ref="B9:C9"/>
    <mergeCell ref="D9:E9"/>
    <mergeCell ref="A8:A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1"/>
  <sheetViews>
    <sheetView zoomScalePageLayoutView="0" workbookViewId="0" topLeftCell="A1">
      <selection activeCell="A1" sqref="A1"/>
    </sheetView>
  </sheetViews>
  <sheetFormatPr defaultColWidth="11.421875" defaultRowHeight="12.75"/>
  <sheetData>
    <row r="3" ht="13.5" thickBot="1"/>
    <row r="4" spans="1:9" ht="39.75" customHeight="1" thickBot="1" thickTop="1">
      <c r="A4" s="207" t="s">
        <v>142</v>
      </c>
      <c r="B4" s="208"/>
      <c r="C4" s="208"/>
      <c r="D4" s="208"/>
      <c r="E4" s="208"/>
      <c r="F4" s="208"/>
      <c r="G4" s="208"/>
      <c r="H4" s="208"/>
      <c r="I4" s="209"/>
    </row>
    <row r="5" ht="14.25" thickBot="1" thickTop="1"/>
    <row r="6" spans="1:9" ht="49.5" customHeight="1" thickBot="1" thickTop="1">
      <c r="A6" s="141"/>
      <c r="B6" s="128" t="s">
        <v>138</v>
      </c>
      <c r="C6" s="128" t="s">
        <v>139</v>
      </c>
      <c r="D6" s="128" t="s">
        <v>64</v>
      </c>
      <c r="E6" s="140"/>
      <c r="F6" s="128"/>
      <c r="G6" s="128" t="s">
        <v>138</v>
      </c>
      <c r="H6" s="128" t="s">
        <v>139</v>
      </c>
      <c r="I6" s="128" t="s">
        <v>64</v>
      </c>
    </row>
    <row r="7" spans="1:9" ht="19.5" customHeight="1" thickTop="1">
      <c r="A7" s="136" t="s">
        <v>134</v>
      </c>
      <c r="B7" s="142">
        <v>0.045</v>
      </c>
      <c r="C7" s="137">
        <f>B7</f>
        <v>0.045</v>
      </c>
      <c r="D7" s="142">
        <v>0.00013546412016229858</v>
      </c>
      <c r="F7" s="136" t="s">
        <v>134</v>
      </c>
      <c r="G7" s="137">
        <f aca="true" t="shared" si="0" ref="G7:I11">B7</f>
        <v>0.045</v>
      </c>
      <c r="H7" s="137">
        <f t="shared" si="0"/>
        <v>0.045</v>
      </c>
      <c r="I7" s="137">
        <f t="shared" si="0"/>
        <v>0.00013546412016229858</v>
      </c>
    </row>
    <row r="8" spans="1:9" ht="19.5" customHeight="1">
      <c r="A8" s="136" t="s">
        <v>59</v>
      </c>
      <c r="B8" s="142">
        <v>0.045</v>
      </c>
      <c r="C8" s="137">
        <f>B8</f>
        <v>0.045</v>
      </c>
      <c r="D8" s="142">
        <v>0.0014200732525344595</v>
      </c>
      <c r="F8" s="136" t="s">
        <v>59</v>
      </c>
      <c r="G8" s="137">
        <f t="shared" si="0"/>
        <v>0.045</v>
      </c>
      <c r="H8" s="137">
        <f t="shared" si="0"/>
        <v>0.045</v>
      </c>
      <c r="I8" s="137">
        <f t="shared" si="0"/>
        <v>0.0014200732525344595</v>
      </c>
    </row>
    <row r="9" spans="1:9" ht="19.5" customHeight="1">
      <c r="A9" s="136" t="s">
        <v>135</v>
      </c>
      <c r="B9" s="142">
        <v>0.045</v>
      </c>
      <c r="C9" s="137">
        <f>B9</f>
        <v>0.045</v>
      </c>
      <c r="D9" s="142">
        <v>0.0020241526993365344</v>
      </c>
      <c r="F9" s="136" t="s">
        <v>135</v>
      </c>
      <c r="G9" s="137">
        <f t="shared" si="0"/>
        <v>0.045</v>
      </c>
      <c r="H9" s="137">
        <f t="shared" si="0"/>
        <v>0.045</v>
      </c>
      <c r="I9" s="137">
        <f t="shared" si="0"/>
        <v>0.0020241526993365344</v>
      </c>
    </row>
    <row r="10" spans="1:9" ht="19.5" customHeight="1">
      <c r="A10" s="136" t="s">
        <v>136</v>
      </c>
      <c r="B10" s="142">
        <v>0.051</v>
      </c>
      <c r="C10" s="137">
        <f>B10</f>
        <v>0.051</v>
      </c>
      <c r="D10" s="142">
        <v>0.005265518006277503</v>
      </c>
      <c r="F10" s="136" t="s">
        <v>136</v>
      </c>
      <c r="G10" s="137">
        <f t="shared" si="0"/>
        <v>0.051</v>
      </c>
      <c r="H10" s="137">
        <f t="shared" si="0"/>
        <v>0.051</v>
      </c>
      <c r="I10" s="137">
        <f t="shared" si="0"/>
        <v>0.005265518006277503</v>
      </c>
    </row>
    <row r="11" spans="1:9" ht="19.5" customHeight="1">
      <c r="A11" s="136" t="s">
        <v>60</v>
      </c>
      <c r="B11" s="142">
        <v>0.049970664996807905</v>
      </c>
      <c r="C11" s="137">
        <f>B11</f>
        <v>0.049970664996807905</v>
      </c>
      <c r="D11" s="142">
        <v>0.014892957051287459</v>
      </c>
      <c r="F11" s="136" t="s">
        <v>60</v>
      </c>
      <c r="G11" s="137">
        <f t="shared" si="0"/>
        <v>0.049970664996807905</v>
      </c>
      <c r="H11" s="137">
        <f t="shared" si="0"/>
        <v>0.049970664996807905</v>
      </c>
      <c r="I11" s="137">
        <f t="shared" si="0"/>
        <v>0.014892957051287459</v>
      </c>
    </row>
    <row r="12" spans="1:9" ht="19.5" customHeight="1">
      <c r="A12" s="136" t="s">
        <v>137</v>
      </c>
      <c r="B12" s="142">
        <v>0.051451347168171166</v>
      </c>
      <c r="C12" s="137">
        <f>0.7*B12-0.025</f>
        <v>0.011015943017719812</v>
      </c>
      <c r="D12" s="142">
        <v>0.01806576989668307</v>
      </c>
      <c r="F12" s="136" t="s">
        <v>69</v>
      </c>
      <c r="G12" s="137">
        <f>(((1+B12)^37)*((1+B13)^62))^(1/99)-1</f>
        <v>0.05262331668860787</v>
      </c>
      <c r="H12" s="137">
        <f>(((1+C12)^37)*((1+C13)^62))^(1/99)-1</f>
        <v>0.024309780552706606</v>
      </c>
      <c r="I12" s="137">
        <f>(((1+D12)^37)*((1+D13)^62))^(1/99)-1</f>
        <v>0.030378415161677053</v>
      </c>
    </row>
    <row r="13" spans="1:9" ht="19.5" customHeight="1">
      <c r="A13" s="136" t="s">
        <v>61</v>
      </c>
      <c r="B13" s="142">
        <v>0.05332334015711351</v>
      </c>
      <c r="C13" s="137">
        <f>0.7*B13-0.005</f>
        <v>0.03232633810997945</v>
      </c>
      <c r="D13" s="142">
        <v>0.037797118944135955</v>
      </c>
      <c r="F13" s="136" t="s">
        <v>70</v>
      </c>
      <c r="G13" s="137">
        <f>(((1+B14)^38)*((1+B15)^50))^(1/88)-1</f>
        <v>0.04307803978490732</v>
      </c>
      <c r="H13" s="137">
        <f>(((1+C14)^38)*((1+C15)^50))^(1/88)-1</f>
        <v>0.041215664483825964</v>
      </c>
      <c r="I13" s="137">
        <f>(((1+D14)^38)*((1+D15)^50))^(1/88)-1</f>
        <v>0.022831024685656676</v>
      </c>
    </row>
    <row r="14" spans="1:9" ht="19.5" customHeight="1">
      <c r="A14" s="136" t="s">
        <v>62</v>
      </c>
      <c r="B14" s="142">
        <v>0.04307803978490733</v>
      </c>
      <c r="C14" s="137">
        <f>0.9*B14</f>
        <v>0.0387702358064166</v>
      </c>
      <c r="D14" s="142">
        <v>0.032796798231504276</v>
      </c>
      <c r="F14" s="136" t="s">
        <v>71</v>
      </c>
      <c r="G14" s="137">
        <f>B15</f>
        <v>0.04307803978490733</v>
      </c>
      <c r="H14" s="137">
        <f>C15</f>
        <v>0.04307803978490733</v>
      </c>
      <c r="I14" s="137">
        <f>D15</f>
        <v>0.015321400273953234</v>
      </c>
    </row>
    <row r="15" spans="1:9" ht="19.5" customHeight="1" thickBot="1">
      <c r="A15" s="138" t="s">
        <v>63</v>
      </c>
      <c r="B15" s="143">
        <f>B14</f>
        <v>0.04307803978490733</v>
      </c>
      <c r="C15" s="144">
        <f>B15</f>
        <v>0.04307803978490733</v>
      </c>
      <c r="D15" s="143">
        <v>0.015321400273953234</v>
      </c>
      <c r="F15" s="138"/>
      <c r="G15" s="139"/>
      <c r="H15" s="139"/>
      <c r="I15" s="139"/>
    </row>
    <row r="16" ht="13.5" thickTop="1"/>
    <row r="18" ht="12.75">
      <c r="A18" s="145" t="s">
        <v>140</v>
      </c>
    </row>
    <row r="19" ht="12.75">
      <c r="A19" s="74" t="s">
        <v>65</v>
      </c>
    </row>
    <row r="20" ht="12.75">
      <c r="A20" s="74" t="s">
        <v>68</v>
      </c>
    </row>
    <row r="21" ht="12.75">
      <c r="A21" s="74" t="s">
        <v>67</v>
      </c>
    </row>
  </sheetData>
  <sheetProtection/>
  <mergeCells count="1"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10.8515625" defaultRowHeight="12.75"/>
  <cols>
    <col min="1" max="14" width="9.7109375" style="77" customWidth="1"/>
    <col min="15" max="21" width="5.8515625" style="77" customWidth="1"/>
    <col min="22" max="25" width="8.28125" style="77" customWidth="1"/>
    <col min="26" max="29" width="13.28125" style="77" customWidth="1"/>
    <col min="30" max="16384" width="10.8515625" style="77" customWidth="1"/>
  </cols>
  <sheetData>
    <row r="1" spans="1:14" ht="1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30" customHeight="1" thickBot="1" thickTop="1">
      <c r="A4" s="149" t="s">
        <v>141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6" ht="18" customHeight="1" thickBot="1" thickTop="1">
      <c r="A5" s="11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79"/>
      <c r="P5" s="79"/>
    </row>
    <row r="6" spans="1:21" ht="18" customHeight="1" thickTop="1">
      <c r="A6" s="154"/>
      <c r="B6" s="157" t="s">
        <v>100</v>
      </c>
      <c r="C6" s="186" t="s">
        <v>101</v>
      </c>
      <c r="D6" s="146" t="s">
        <v>102</v>
      </c>
      <c r="E6" s="160" t="s">
        <v>104</v>
      </c>
      <c r="F6" s="163" t="s">
        <v>105</v>
      </c>
      <c r="G6" s="219" t="s">
        <v>106</v>
      </c>
      <c r="H6" s="163" t="s">
        <v>108</v>
      </c>
      <c r="I6" s="210" t="s">
        <v>109</v>
      </c>
      <c r="J6" s="213" t="s">
        <v>107</v>
      </c>
      <c r="K6" s="210" t="s">
        <v>115</v>
      </c>
      <c r="L6" s="180" t="s">
        <v>116</v>
      </c>
      <c r="M6" s="216" t="s">
        <v>117</v>
      </c>
      <c r="N6" s="177" t="s">
        <v>118</v>
      </c>
      <c r="O6" s="80"/>
      <c r="P6" s="80"/>
      <c r="Q6" s="80"/>
      <c r="R6" s="80"/>
      <c r="S6" s="80"/>
      <c r="T6" s="80"/>
      <c r="U6" s="80"/>
    </row>
    <row r="7" spans="1:21" ht="18" customHeight="1">
      <c r="A7" s="155"/>
      <c r="B7" s="158"/>
      <c r="C7" s="187"/>
      <c r="D7" s="147"/>
      <c r="E7" s="161"/>
      <c r="F7" s="164"/>
      <c r="G7" s="220"/>
      <c r="H7" s="164"/>
      <c r="I7" s="211"/>
      <c r="J7" s="214"/>
      <c r="K7" s="211"/>
      <c r="L7" s="181"/>
      <c r="M7" s="217"/>
      <c r="N7" s="178"/>
      <c r="O7" s="80"/>
      <c r="P7" s="80"/>
      <c r="Q7" s="80"/>
      <c r="R7" s="80"/>
      <c r="S7" s="80"/>
      <c r="T7" s="80"/>
      <c r="U7" s="80"/>
    </row>
    <row r="8" spans="1:21" ht="18" customHeight="1">
      <c r="A8" s="155"/>
      <c r="B8" s="158"/>
      <c r="C8" s="187"/>
      <c r="D8" s="147"/>
      <c r="E8" s="161"/>
      <c r="F8" s="164"/>
      <c r="G8" s="220"/>
      <c r="H8" s="164"/>
      <c r="I8" s="211"/>
      <c r="J8" s="214"/>
      <c r="K8" s="211"/>
      <c r="L8" s="181"/>
      <c r="M8" s="217"/>
      <c r="N8" s="178"/>
      <c r="O8" s="80"/>
      <c r="P8" s="80"/>
      <c r="Q8" s="80"/>
      <c r="R8" s="80"/>
      <c r="S8" s="80"/>
      <c r="T8" s="80"/>
      <c r="U8" s="80"/>
    </row>
    <row r="9" spans="1:21" ht="18" customHeight="1">
      <c r="A9" s="155"/>
      <c r="B9" s="158"/>
      <c r="C9" s="187"/>
      <c r="D9" s="147"/>
      <c r="E9" s="161"/>
      <c r="F9" s="164"/>
      <c r="G9" s="220"/>
      <c r="H9" s="164"/>
      <c r="I9" s="211"/>
      <c r="J9" s="214"/>
      <c r="K9" s="211"/>
      <c r="L9" s="181"/>
      <c r="M9" s="217"/>
      <c r="N9" s="178"/>
      <c r="O9" s="80"/>
      <c r="P9" s="80"/>
      <c r="Q9" s="80"/>
      <c r="R9" s="80"/>
      <c r="S9" s="80"/>
      <c r="T9" s="80"/>
      <c r="U9" s="80"/>
    </row>
    <row r="10" spans="1:21" ht="18" customHeight="1" thickBot="1">
      <c r="A10" s="156"/>
      <c r="B10" s="159"/>
      <c r="C10" s="188"/>
      <c r="D10" s="148"/>
      <c r="E10" s="162"/>
      <c r="F10" s="165"/>
      <c r="G10" s="221"/>
      <c r="H10" s="165"/>
      <c r="I10" s="212"/>
      <c r="J10" s="215"/>
      <c r="K10" s="212"/>
      <c r="L10" s="182"/>
      <c r="M10" s="218"/>
      <c r="N10" s="179"/>
      <c r="O10" s="80"/>
      <c r="P10" s="80"/>
      <c r="Q10" s="80"/>
      <c r="R10" s="80"/>
      <c r="S10" s="80"/>
      <c r="T10" s="80"/>
      <c r="U10" s="80"/>
    </row>
    <row r="11" spans="1:21" ht="18" customHeight="1" thickTop="1">
      <c r="A11" s="101"/>
      <c r="B11" s="166" t="s">
        <v>110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80"/>
      <c r="P11" s="80"/>
      <c r="Q11" s="80"/>
      <c r="R11" s="80"/>
      <c r="S11" s="80"/>
      <c r="T11" s="80"/>
      <c r="U11" s="80"/>
    </row>
    <row r="12" spans="1:16" ht="15" customHeight="1">
      <c r="A12" s="86">
        <v>1872</v>
      </c>
      <c r="B12" s="96">
        <f>1-E12-N12</f>
        <v>0.41544203539823</v>
      </c>
      <c r="C12" s="117">
        <f>B12-D12</f>
        <v>0.28544203539823</v>
      </c>
      <c r="D12" s="97">
        <v>0.13</v>
      </c>
      <c r="E12" s="87">
        <f>'DetailsTS10.4(1)'!E13/(1+'TS10.4'!$D12)</f>
        <v>0.5609370796460178</v>
      </c>
      <c r="F12" s="98">
        <f>'DetailsTS10.4(1)'!F13/(1+'TS10.4'!$D12)</f>
        <v>0.1537612389380531</v>
      </c>
      <c r="G12" s="99">
        <f>'DetailsTS10.4(1)'!G13/(1+'TS10.4'!$D12)</f>
        <v>0.011419557522123895</v>
      </c>
      <c r="H12" s="89">
        <f>'DetailsTS10.4(1)'!H13/(1+'TS10.4'!$D12)</f>
        <v>0.1881161946902655</v>
      </c>
      <c r="I12" s="88">
        <f>'DetailsTS10.4(1)'!I13/(1+'TS10.4'!$D12)</f>
        <v>0.01658203539823009</v>
      </c>
      <c r="J12" s="98">
        <f>'DetailsTS10.4(1)'!J13/(1+'TS10.4'!$D12)</f>
        <v>0.12981805309734515</v>
      </c>
      <c r="K12" s="99">
        <f>'DetailsTS10.4(1)'!K13/(1+'TS10.4'!$D12)</f>
        <v>0.03454398230088496</v>
      </c>
      <c r="L12" s="100">
        <f>'DetailsTS10.4(1)'!L13/(1+'TS10.4'!$D12)</f>
        <v>0.08924159292035398</v>
      </c>
      <c r="M12" s="90">
        <f>'DetailsTS10.4(1)'!M13/(1+'TS10.4'!$D12)</f>
        <v>0.06254557522123895</v>
      </c>
      <c r="N12" s="102">
        <f>'DetailsTS10.4(1)'!N13/(1+'TS10.4'!$D12)</f>
        <v>0.023620884955752215</v>
      </c>
      <c r="O12" s="91"/>
      <c r="P12" s="91"/>
    </row>
    <row r="13" spans="1:16" ht="18" customHeight="1" thickBot="1">
      <c r="A13" s="103">
        <v>1912</v>
      </c>
      <c r="B13" s="104">
        <v>0.3570394</v>
      </c>
      <c r="C13" s="118">
        <v>0.2458059</v>
      </c>
      <c r="D13" s="106">
        <v>0.1112335</v>
      </c>
      <c r="E13" s="107">
        <v>0.6152886</v>
      </c>
      <c r="F13" s="108">
        <v>0.2019995</v>
      </c>
      <c r="G13" s="109">
        <v>0.0664669</v>
      </c>
      <c r="H13" s="110">
        <v>0.1850549</v>
      </c>
      <c r="I13" s="105">
        <v>0.0457287</v>
      </c>
      <c r="J13" s="108">
        <v>0.1421421</v>
      </c>
      <c r="K13" s="109">
        <v>0.088534</v>
      </c>
      <c r="L13" s="111">
        <v>0.0860921</v>
      </c>
      <c r="M13" s="112">
        <f>G13+I13+K13</f>
        <v>0.2007296</v>
      </c>
      <c r="N13" s="113">
        <v>0.027672</v>
      </c>
      <c r="O13" s="91"/>
      <c r="P13" s="91"/>
    </row>
    <row r="14" spans="1:14" ht="15" thickTop="1">
      <c r="A14" s="101"/>
      <c r="B14" s="166" t="s">
        <v>111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1:14" ht="15">
      <c r="A15" s="86">
        <v>1872</v>
      </c>
      <c r="B15" s="96">
        <f>1-E15-N15</f>
        <v>0.4335156637168141</v>
      </c>
      <c r="C15" s="117">
        <f>B15-D15</f>
        <v>0.3035156637168141</v>
      </c>
      <c r="D15" s="97">
        <v>0.13</v>
      </c>
      <c r="E15" s="87">
        <f>'DetailsTS10.4(1)'!E19/(1+'TS10.4'!$D15)</f>
        <v>0.5489010619469027</v>
      </c>
      <c r="F15" s="98">
        <f>'DetailsTS10.4(1)'!F19/(1+'TS10.4'!$D15)</f>
        <v>0.16345336283185843</v>
      </c>
      <c r="G15" s="99">
        <f>'DetailsTS10.4(1)'!G19/(1+'TS10.4'!$D15)</f>
        <v>0.013867876106194691</v>
      </c>
      <c r="H15" s="89">
        <f>'DetailsTS10.4(1)'!H19/(1+'TS10.4'!$D15)</f>
        <v>0.15584530973451327</v>
      </c>
      <c r="I15" s="88">
        <f>'DetailsTS10.4(1)'!I19/(1+'TS10.4'!$D15)</f>
        <v>0.019679469026548674</v>
      </c>
      <c r="J15" s="98">
        <f>'DetailsTS10.4(1)'!J19/(1+'TS10.4'!$D15)</f>
        <v>0.12672247787610622</v>
      </c>
      <c r="K15" s="99">
        <f>'DetailsTS10.4(1)'!K19/(1+'TS10.4'!$D15)</f>
        <v>0.042391504424778764</v>
      </c>
      <c r="L15" s="100">
        <f>'DetailsTS10.4(1)'!L19/(1+'TS10.4'!$D15)</f>
        <v>0.1028799115044248</v>
      </c>
      <c r="M15" s="90">
        <f>'DetailsTS10.4(1)'!M19/(1+'TS10.4'!$D15)</f>
        <v>0.07593884955752213</v>
      </c>
      <c r="N15" s="102">
        <f>'DetailsTS10.4(1)'!N19/(1+'TS10.4'!$D15)</f>
        <v>0.017583274336283188</v>
      </c>
    </row>
    <row r="16" spans="1:14" ht="15.75" thickBot="1">
      <c r="A16" s="103">
        <v>1912</v>
      </c>
      <c r="B16" s="104">
        <v>0.3247803</v>
      </c>
      <c r="C16" s="118">
        <v>0.2211604</v>
      </c>
      <c r="D16" s="106">
        <v>0.10362</v>
      </c>
      <c r="E16" s="107">
        <v>0.6538293</v>
      </c>
      <c r="F16" s="108">
        <v>0.2430957</v>
      </c>
      <c r="G16" s="109">
        <v>0.0934746</v>
      </c>
      <c r="H16" s="110">
        <v>0.1908742</v>
      </c>
      <c r="I16" s="105">
        <v>0.0519179</v>
      </c>
      <c r="J16" s="108">
        <v>0.1376101</v>
      </c>
      <c r="K16" s="109">
        <v>0.0956097</v>
      </c>
      <c r="L16" s="111">
        <v>0.0822494</v>
      </c>
      <c r="M16" s="112">
        <f>G16+I16+K16</f>
        <v>0.2410022</v>
      </c>
      <c r="N16" s="113">
        <v>0.0213904</v>
      </c>
    </row>
    <row r="17" spans="1:14" ht="15" thickTop="1">
      <c r="A17" s="101"/>
      <c r="B17" s="166" t="s">
        <v>112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ht="15">
      <c r="A18" s="86">
        <v>1872</v>
      </c>
      <c r="B18" s="96">
        <f>1-E18-N18</f>
        <v>0.42041686956521734</v>
      </c>
      <c r="C18" s="117">
        <f>B18-D18</f>
        <v>0.2704168695652174</v>
      </c>
      <c r="D18" s="97">
        <v>0.15</v>
      </c>
      <c r="E18" s="87">
        <f>'DetailsTS10.4(1)'!E24/(1+'TS10.4'!$D18)</f>
        <v>0.5561322608695652</v>
      </c>
      <c r="F18" s="98">
        <f>'DetailsTS10.4(1)'!F24/(1+'TS10.4'!$D18)</f>
        <v>0.13950434782608695</v>
      </c>
      <c r="G18" s="99">
        <f>'DetailsTS10.4(1)'!G24/(1+'TS10.4'!$D18)</f>
        <v>0.008394869565217393</v>
      </c>
      <c r="H18" s="89">
        <f>'DetailsTS10.4(1)'!H24/(1+'TS10.4'!$D18)</f>
        <v>0.22006956521739135</v>
      </c>
      <c r="I18" s="88">
        <f>'DetailsTS10.4(1)'!I24/(1+'TS10.4'!$D18)</f>
        <v>0.012674347826086958</v>
      </c>
      <c r="J18" s="98">
        <f>'DetailsTS10.4(1)'!J24/(1+'TS10.4'!$D18)</f>
        <v>0.12762382608695652</v>
      </c>
      <c r="K18" s="99">
        <f>'DetailsTS10.4(1)'!K24/(1+'TS10.4'!$D18)</f>
        <v>0.024610608695652174</v>
      </c>
      <c r="L18" s="100">
        <f>'DetailsTS10.4(1)'!L24/(1+'TS10.4'!$D18)</f>
        <v>0.06893452173913045</v>
      </c>
      <c r="M18" s="90">
        <f>'DetailsTS10.4(1)'!M24/(1+'TS10.4'!$D18)</f>
        <v>0.045679826086956525</v>
      </c>
      <c r="N18" s="102">
        <f>'DetailsTS10.4(1)'!N24/(1+'TS10.4'!$D18)</f>
        <v>0.023450869565217393</v>
      </c>
    </row>
    <row r="19" spans="1:14" ht="15.75" thickBot="1">
      <c r="A19" s="103">
        <v>1912</v>
      </c>
      <c r="B19" s="104">
        <v>0.412484</v>
      </c>
      <c r="C19" s="118">
        <v>0.2962541</v>
      </c>
      <c r="D19" s="106">
        <v>0.1162298</v>
      </c>
      <c r="E19" s="107">
        <v>0.5538484</v>
      </c>
      <c r="F19" s="108">
        <v>0.1389242</v>
      </c>
      <c r="G19" s="109">
        <v>0.0254774</v>
      </c>
      <c r="H19" s="110">
        <v>0.1778154</v>
      </c>
      <c r="I19" s="105">
        <v>0.0370492</v>
      </c>
      <c r="J19" s="108">
        <v>0.1497871</v>
      </c>
      <c r="K19" s="109">
        <v>0.0799601</v>
      </c>
      <c r="L19" s="111">
        <v>0.0873218</v>
      </c>
      <c r="M19" s="112">
        <f>G19+I19+K19</f>
        <v>0.14248670000000002</v>
      </c>
      <c r="N19" s="113">
        <v>0.0336676</v>
      </c>
    </row>
    <row r="20" spans="1:14" ht="15" thickTop="1">
      <c r="A20" s="101"/>
      <c r="B20" s="166" t="s">
        <v>113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</row>
    <row r="21" spans="1:14" ht="15">
      <c r="A21" s="86">
        <v>1872</v>
      </c>
      <c r="B21" s="96">
        <f>1-E21-N21</f>
        <v>0.2685246031746032</v>
      </c>
      <c r="C21" s="117">
        <f>B21-D21</f>
        <v>0.008524603174603185</v>
      </c>
      <c r="D21" s="97">
        <v>0.26</v>
      </c>
      <c r="E21" s="87">
        <f>'DetailsTS10.4(1)'!E29/(1+'TS10.4'!$D21)</f>
        <v>0.6242281746031746</v>
      </c>
      <c r="F21" s="98">
        <f>'DetailsTS10.4(1)'!F29/(1+'TS10.4'!$D21)</f>
        <v>0.12596809523809524</v>
      </c>
      <c r="G21" s="99">
        <f>'DetailsTS10.4(1)'!G29/(1+'TS10.4'!$D21)</f>
        <v>0.006103571428571429</v>
      </c>
      <c r="H21" s="89">
        <f>'DetailsTS10.4(1)'!H29/(1+'TS10.4'!$D21)</f>
        <v>0.24609198412698413</v>
      </c>
      <c r="I21" s="88">
        <f>'DetailsTS10.4(1)'!I29/(1+'TS10.4'!$D21)</f>
        <v>0.010131111111111112</v>
      </c>
      <c r="J21" s="98">
        <f>'DetailsTS10.4(1)'!J29/(1+'TS10.4'!$D21)</f>
        <v>0.1612269841269841</v>
      </c>
      <c r="K21" s="99">
        <f>'DetailsTS10.4(1)'!K29/(1+'TS10.4'!$D21)</f>
        <v>0.020804603174603174</v>
      </c>
      <c r="L21" s="100">
        <f>'DetailsTS10.4(1)'!L29/(1+'TS10.4'!$D21)</f>
        <v>0.09094111111111111</v>
      </c>
      <c r="M21" s="90">
        <f>'DetailsTS10.4(1)'!M29/(1+'TS10.4'!$D21)</f>
        <v>0.03703928571428572</v>
      </c>
      <c r="N21" s="102">
        <f>'DetailsTS10.4(1)'!N29/(1+'TS10.4'!$D21)</f>
        <v>0.10724722222222222</v>
      </c>
    </row>
    <row r="22" spans="1:14" ht="15.75" thickBot="1">
      <c r="A22" s="103">
        <v>1912</v>
      </c>
      <c r="B22" s="104">
        <v>0.3131449</v>
      </c>
      <c r="C22" s="118">
        <v>0.0699271</v>
      </c>
      <c r="D22" s="106">
        <v>0.2432178</v>
      </c>
      <c r="E22" s="107">
        <v>0.5832533</v>
      </c>
      <c r="F22" s="108">
        <v>0.1249325</v>
      </c>
      <c r="G22" s="109">
        <v>0.0076793</v>
      </c>
      <c r="H22" s="110">
        <v>0.1443677</v>
      </c>
      <c r="I22" s="105">
        <v>0.0196955</v>
      </c>
      <c r="J22" s="108">
        <v>0.1385132</v>
      </c>
      <c r="K22" s="109">
        <v>0.0350369</v>
      </c>
      <c r="L22" s="111">
        <v>0.17543999999999998</v>
      </c>
      <c r="M22" s="112">
        <f>G22+I22+K22</f>
        <v>0.0624117</v>
      </c>
      <c r="N22" s="113">
        <v>0.1036018</v>
      </c>
    </row>
    <row r="23" spans="1:14" ht="15.75" thickBot="1" thickTop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5" thickTop="1">
      <c r="A24" s="168" t="s">
        <v>114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</row>
    <row r="25" spans="1:14" ht="1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3"/>
    </row>
    <row r="26" ht="15" thickTop="1"/>
  </sheetData>
  <sheetProtection/>
  <mergeCells count="21">
    <mergeCell ref="F6:F10"/>
    <mergeCell ref="M6:M10"/>
    <mergeCell ref="G6:G10"/>
    <mergeCell ref="B11:N11"/>
    <mergeCell ref="A4:N4"/>
    <mergeCell ref="B5:N5"/>
    <mergeCell ref="A6:A10"/>
    <mergeCell ref="B6:B10"/>
    <mergeCell ref="C6:C10"/>
    <mergeCell ref="D6:D10"/>
    <mergeCell ref="E6:E10"/>
    <mergeCell ref="B14:N14"/>
    <mergeCell ref="B17:N17"/>
    <mergeCell ref="B20:N20"/>
    <mergeCell ref="A24:N25"/>
    <mergeCell ref="I6:I10"/>
    <mergeCell ref="J6:J10"/>
    <mergeCell ref="K6:K10"/>
    <mergeCell ref="L6:L10"/>
    <mergeCell ref="H6:H10"/>
    <mergeCell ref="N6:N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22" width="12.710937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4.5" customHeight="1" thickBot="1" thickTop="1">
      <c r="A3" s="230" t="s">
        <v>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"/>
      <c r="P3" s="1"/>
      <c r="Q3" s="1"/>
      <c r="R3" s="1"/>
      <c r="S3" s="1"/>
      <c r="T3" s="1"/>
      <c r="U3" s="1"/>
      <c r="V3" s="1"/>
    </row>
    <row r="4" spans="1:22" ht="54.75" customHeight="1" thickTop="1">
      <c r="A4" s="227" t="s">
        <v>21</v>
      </c>
      <c r="B4" s="228"/>
      <c r="C4" s="228"/>
      <c r="D4" s="229"/>
      <c r="E4" s="192" t="s">
        <v>50</v>
      </c>
      <c r="F4" s="193"/>
      <c r="G4" s="193"/>
      <c r="H4" s="238"/>
      <c r="I4" s="239"/>
      <c r="J4" s="20"/>
      <c r="K4" s="227" t="s">
        <v>37</v>
      </c>
      <c r="L4" s="228"/>
      <c r="M4" s="228"/>
      <c r="N4" s="229"/>
      <c r="O4" s="1"/>
      <c r="P4" s="1"/>
      <c r="Q4" s="1"/>
      <c r="R4" s="1"/>
      <c r="S4" s="1"/>
      <c r="T4" s="1"/>
      <c r="U4" s="1"/>
      <c r="V4" s="1"/>
    </row>
    <row r="5" spans="1:22" ht="60" customHeight="1" thickBot="1">
      <c r="A5" s="21"/>
      <c r="B5" s="22" t="s">
        <v>22</v>
      </c>
      <c r="C5" s="22" t="s">
        <v>23</v>
      </c>
      <c r="D5" s="23" t="s">
        <v>24</v>
      </c>
      <c r="E5" s="21"/>
      <c r="F5" s="22" t="s">
        <v>22</v>
      </c>
      <c r="G5" s="22" t="s">
        <v>23</v>
      </c>
      <c r="H5" s="22" t="s">
        <v>24</v>
      </c>
      <c r="I5" s="23" t="s">
        <v>49</v>
      </c>
      <c r="J5" s="22"/>
      <c r="K5" s="24"/>
      <c r="L5" s="22" t="s">
        <v>22</v>
      </c>
      <c r="M5" s="22" t="s">
        <v>23</v>
      </c>
      <c r="N5" s="23" t="s">
        <v>24</v>
      </c>
      <c r="O5" s="1"/>
      <c r="P5" s="1"/>
      <c r="Q5" s="1"/>
      <c r="R5" s="1"/>
      <c r="S5" s="1"/>
      <c r="T5" s="1"/>
      <c r="U5" s="1"/>
      <c r="V5" s="1"/>
    </row>
    <row r="6" spans="1:22" ht="15" thickTop="1">
      <c r="A6" s="25">
        <v>1807</v>
      </c>
      <c r="B6" s="26">
        <v>79.08790266026436</v>
      </c>
      <c r="C6" s="26">
        <v>43.422048862499885</v>
      </c>
      <c r="D6" s="27">
        <v>16.325782278722752</v>
      </c>
      <c r="E6" s="3">
        <v>1810</v>
      </c>
      <c r="F6" s="7">
        <f>1.01*B6/100</f>
        <v>0.79878781686867</v>
      </c>
      <c r="G6" s="7">
        <f>1.05*C6/100</f>
        <v>0.4559315130562488</v>
      </c>
      <c r="H6" s="7">
        <f>1.05*D6/100</f>
        <v>0.17142071392658892</v>
      </c>
      <c r="I6" s="5">
        <f>1.05*C29/100</f>
        <v>0.5373679950186799</v>
      </c>
      <c r="J6" s="28"/>
      <c r="K6" s="29" t="s">
        <v>25</v>
      </c>
      <c r="L6" s="30">
        <f>AVERAGE(L15:L20)</f>
        <v>86.47703515169383</v>
      </c>
      <c r="M6" s="30">
        <f>AVERAGE(M15:M20)</f>
        <v>55.87345310249527</v>
      </c>
      <c r="N6" s="31">
        <f>AVERAGE(N15:N20)</f>
        <v>26.74570299420354</v>
      </c>
      <c r="O6" s="1"/>
      <c r="P6" s="1"/>
      <c r="Q6" s="1"/>
      <c r="R6" s="1"/>
      <c r="S6" s="1"/>
      <c r="T6" s="1"/>
      <c r="U6" s="1"/>
      <c r="V6" s="1"/>
    </row>
    <row r="7" spans="1:22" ht="15">
      <c r="A7" s="25">
        <v>1817</v>
      </c>
      <c r="B7" s="26">
        <v>81.03394414153998</v>
      </c>
      <c r="C7" s="26">
        <v>44.49049429405204</v>
      </c>
      <c r="D7" s="27">
        <v>18.075014147958935</v>
      </c>
      <c r="E7" s="3">
        <v>1820</v>
      </c>
      <c r="F7" s="7">
        <f aca="true" t="shared" si="0" ref="F7:F14">1.01*B7/100</f>
        <v>0.8184428358295537</v>
      </c>
      <c r="G7" s="7">
        <f aca="true" t="shared" si="1" ref="G7:G14">1.05*C7/100</f>
        <v>0.46715019008754644</v>
      </c>
      <c r="H7" s="7">
        <f aca="true" t="shared" si="2" ref="H7:H14">1.05*D7/100</f>
        <v>0.18978764855356883</v>
      </c>
      <c r="I7" s="5">
        <f>1.03*C30/100</f>
        <v>0.5901245754076087</v>
      </c>
      <c r="J7" s="28"/>
      <c r="K7" s="24" t="s">
        <v>26</v>
      </c>
      <c r="L7" s="32">
        <f>AVERAGE(L21:L24)</f>
        <v>86.76091475233765</v>
      </c>
      <c r="M7" s="32">
        <f>AVERAGE(M21:M24)</f>
        <v>56.01801107901535</v>
      </c>
      <c r="N7" s="33">
        <f>AVERAGE(N21:N24)</f>
        <v>26.829547369349196</v>
      </c>
      <c r="O7" s="1"/>
      <c r="P7" s="1"/>
      <c r="Q7" s="1"/>
      <c r="R7" s="1"/>
      <c r="S7" s="1"/>
      <c r="T7" s="1"/>
      <c r="U7" s="1"/>
      <c r="V7" s="1"/>
    </row>
    <row r="8" spans="1:22" ht="15">
      <c r="A8" s="25">
        <v>1827</v>
      </c>
      <c r="B8" s="26">
        <v>82.39713208131073</v>
      </c>
      <c r="C8" s="26">
        <v>45.23893256764955</v>
      </c>
      <c r="D8" s="27">
        <v>16.30886739124314</v>
      </c>
      <c r="E8" s="3">
        <v>1830</v>
      </c>
      <c r="F8" s="7">
        <f t="shared" si="0"/>
        <v>0.8322110340212384</v>
      </c>
      <c r="G8" s="7">
        <f t="shared" si="1"/>
        <v>0.4750087919603203</v>
      </c>
      <c r="H8" s="7">
        <f t="shared" si="2"/>
        <v>0.17124310760805297</v>
      </c>
      <c r="I8" s="5">
        <f aca="true" t="shared" si="3" ref="I8:I14">1.05*C31/100</f>
        <v>0.5196642951687624</v>
      </c>
      <c r="J8" s="28"/>
      <c r="K8" s="24" t="s">
        <v>27</v>
      </c>
      <c r="L8" s="32">
        <f>AVERAGE(L25:L28)</f>
        <v>80.84780088445586</v>
      </c>
      <c r="M8" s="32">
        <f>AVERAGE(M25:M28)</f>
        <v>46.889892516203815</v>
      </c>
      <c r="N8" s="33">
        <f>AVERAGE(N25:N28)</f>
        <v>22.006630703995384</v>
      </c>
      <c r="O8" s="1"/>
      <c r="P8" s="1"/>
      <c r="Q8" s="1"/>
      <c r="R8" s="1"/>
      <c r="S8" s="1"/>
      <c r="T8" s="1"/>
      <c r="U8" s="1"/>
      <c r="V8" s="1"/>
    </row>
    <row r="9" spans="1:22" ht="15">
      <c r="A9" s="25">
        <v>1837</v>
      </c>
      <c r="B9" s="26">
        <v>79.6183016764088</v>
      </c>
      <c r="C9" s="26">
        <v>43.76680320166017</v>
      </c>
      <c r="D9" s="27">
        <v>14.749861693386787</v>
      </c>
      <c r="E9" s="3">
        <f>E8+10</f>
        <v>1840</v>
      </c>
      <c r="F9" s="7">
        <f t="shared" si="0"/>
        <v>0.8041448469317289</v>
      </c>
      <c r="G9" s="7">
        <f t="shared" si="1"/>
        <v>0.4595514336174318</v>
      </c>
      <c r="H9" s="7">
        <f t="shared" si="2"/>
        <v>0.15487354778056128</v>
      </c>
      <c r="I9" s="5">
        <f t="shared" si="3"/>
        <v>0.5255458616429896</v>
      </c>
      <c r="J9" s="28"/>
      <c r="K9" s="24" t="s">
        <v>28</v>
      </c>
      <c r="L9" s="32">
        <f>AVERAGE(L29:L37)</f>
        <v>79.16695678421328</v>
      </c>
      <c r="M9" s="32">
        <f>AVERAGE(M29:M37)</f>
        <v>45.09653343152298</v>
      </c>
      <c r="N9" s="33">
        <f>AVERAGE(N29:N37)</f>
        <v>21.299825621026937</v>
      </c>
      <c r="O9" s="1"/>
      <c r="P9" s="1"/>
      <c r="Q9" s="1"/>
      <c r="R9" s="1"/>
      <c r="S9" s="1"/>
      <c r="T9" s="1"/>
      <c r="U9" s="1"/>
      <c r="V9" s="1"/>
    </row>
    <row r="10" spans="1:22" ht="15">
      <c r="A10" s="25">
        <v>1847</v>
      </c>
      <c r="B10" s="26">
        <v>81.62319584030494</v>
      </c>
      <c r="C10" s="26">
        <v>47.876351925742895</v>
      </c>
      <c r="D10" s="27">
        <v>18.432148432324514</v>
      </c>
      <c r="E10" s="3">
        <f aca="true" t="shared" si="4" ref="E10:E26">E9+10</f>
        <v>1850</v>
      </c>
      <c r="F10" s="7">
        <f t="shared" si="0"/>
        <v>0.82439427798708</v>
      </c>
      <c r="G10" s="7">
        <f t="shared" si="1"/>
        <v>0.5027016952203005</v>
      </c>
      <c r="H10" s="7">
        <f t="shared" si="2"/>
        <v>0.1935375585394074</v>
      </c>
      <c r="I10" s="5">
        <f t="shared" si="3"/>
        <v>0.5857911314514268</v>
      </c>
      <c r="J10" s="28"/>
      <c r="K10" s="24" t="s">
        <v>29</v>
      </c>
      <c r="L10" s="32">
        <f>AVERAGE(L38:L47)</f>
        <v>75.0289360888194</v>
      </c>
      <c r="M10" s="32">
        <f>AVERAGE(M38:M47)</f>
        <v>34.5739076496036</v>
      </c>
      <c r="N10" s="33">
        <f>AVERAGE(N38:N47)</f>
        <v>13.025389595209248</v>
      </c>
      <c r="O10" s="1"/>
      <c r="P10" s="1"/>
      <c r="Q10" s="1"/>
      <c r="R10" s="1"/>
      <c r="S10" s="1"/>
      <c r="T10" s="1"/>
      <c r="U10" s="1"/>
      <c r="V10" s="1"/>
    </row>
    <row r="11" spans="1:22" ht="15">
      <c r="A11" s="25">
        <v>1857</v>
      </c>
      <c r="B11" s="26">
        <v>82.88137307053867</v>
      </c>
      <c r="C11" s="26">
        <v>49.51938689372081</v>
      </c>
      <c r="D11" s="27">
        <v>17.427807422052652</v>
      </c>
      <c r="E11" s="3">
        <f t="shared" si="4"/>
        <v>1860</v>
      </c>
      <c r="F11" s="7">
        <f t="shared" si="0"/>
        <v>0.8371018680124407</v>
      </c>
      <c r="G11" s="7">
        <f t="shared" si="1"/>
        <v>0.5199535623840685</v>
      </c>
      <c r="H11" s="7">
        <f t="shared" si="2"/>
        <v>0.18299197793155286</v>
      </c>
      <c r="I11" s="5">
        <f>1.08*C34/100</f>
        <v>0.5511359768939167</v>
      </c>
      <c r="J11" s="28"/>
      <c r="K11" s="24" t="s">
        <v>30</v>
      </c>
      <c r="L11" s="32">
        <f>AVERAGE(L48:L57)</f>
        <v>72.07571294203602</v>
      </c>
      <c r="M11" s="32">
        <f>AVERAGE(M48:M57)</f>
        <v>31.812624629791543</v>
      </c>
      <c r="N11" s="33">
        <f>AVERAGE(N48:N57)</f>
        <v>11.48820471139191</v>
      </c>
      <c r="O11" s="1"/>
      <c r="P11" s="1"/>
      <c r="Q11" s="1"/>
      <c r="R11" s="1"/>
      <c r="S11" s="1"/>
      <c r="T11" s="1"/>
      <c r="U11" s="1"/>
      <c r="V11" s="1"/>
    </row>
    <row r="12" spans="1:22" ht="15" thickBot="1">
      <c r="A12" s="25">
        <v>1867</v>
      </c>
      <c r="B12" s="26">
        <v>81.00163146704058</v>
      </c>
      <c r="C12" s="26">
        <v>47.957930432263495</v>
      </c>
      <c r="D12" s="27">
        <v>17.42844634572286</v>
      </c>
      <c r="E12" s="3">
        <f t="shared" si="4"/>
        <v>1870</v>
      </c>
      <c r="F12" s="7">
        <f t="shared" si="0"/>
        <v>0.8181164778171098</v>
      </c>
      <c r="G12" s="7">
        <f t="shared" si="1"/>
        <v>0.5035582695387667</v>
      </c>
      <c r="H12" s="7">
        <f t="shared" si="2"/>
        <v>0.18299868663009003</v>
      </c>
      <c r="I12" s="5">
        <f t="shared" si="3"/>
        <v>0.556762917128136</v>
      </c>
      <c r="J12" s="28"/>
      <c r="K12" s="34" t="s">
        <v>31</v>
      </c>
      <c r="L12" s="35">
        <f>AVERAGE(L58:L60)</f>
        <v>69.25012462403133</v>
      </c>
      <c r="M12" s="35">
        <f>AVERAGE(M58:M60)</f>
        <v>30.377531088415605</v>
      </c>
      <c r="N12" s="36">
        <f>AVERAGE(N58:N60)</f>
        <v>10.941767652451189</v>
      </c>
      <c r="O12" s="1"/>
      <c r="P12" s="1"/>
      <c r="Q12" s="1"/>
      <c r="R12" s="1"/>
      <c r="S12" s="1"/>
      <c r="T12" s="1"/>
      <c r="U12" s="1"/>
      <c r="V12" s="1"/>
    </row>
    <row r="13" spans="1:22" ht="15" thickTop="1">
      <c r="A13" s="25">
        <v>1877</v>
      </c>
      <c r="B13" s="26">
        <v>83.80320817609005</v>
      </c>
      <c r="C13" s="26">
        <v>47.14973217071825</v>
      </c>
      <c r="D13" s="27">
        <v>20.136975791632874</v>
      </c>
      <c r="E13" s="3">
        <f t="shared" si="4"/>
        <v>1880</v>
      </c>
      <c r="F13" s="7">
        <f t="shared" si="0"/>
        <v>0.8464124025785096</v>
      </c>
      <c r="G13" s="7">
        <f t="shared" si="1"/>
        <v>0.4950721877925417</v>
      </c>
      <c r="H13" s="7">
        <f t="shared" si="2"/>
        <v>0.2114382458121452</v>
      </c>
      <c r="I13" s="5">
        <f t="shared" si="3"/>
        <v>0.6187150968371187</v>
      </c>
      <c r="J13" s="19"/>
      <c r="K13" s="24">
        <v>1984</v>
      </c>
      <c r="L13" s="32">
        <f aca="true" t="shared" si="5" ref="L13:N14">L61</f>
        <v>64.7856945000324</v>
      </c>
      <c r="M13" s="32">
        <f t="shared" si="5"/>
        <v>21.58812103519335</v>
      </c>
      <c r="N13" s="33">
        <f t="shared" si="5"/>
        <v>6.5943939351717935</v>
      </c>
      <c r="O13" s="1"/>
      <c r="P13" s="1"/>
      <c r="Q13" s="1"/>
      <c r="R13" s="1"/>
      <c r="S13" s="1"/>
      <c r="T13" s="1"/>
      <c r="U13" s="1"/>
      <c r="V13" s="1"/>
    </row>
    <row r="14" spans="1:22" ht="15">
      <c r="A14" s="25">
        <v>1887</v>
      </c>
      <c r="B14" s="26">
        <v>83.90587913416167</v>
      </c>
      <c r="C14" s="26">
        <v>48.70685615498917</v>
      </c>
      <c r="D14" s="27">
        <v>19.249638832522905</v>
      </c>
      <c r="E14" s="3">
        <f t="shared" si="4"/>
        <v>1890</v>
      </c>
      <c r="F14" s="7">
        <f t="shared" si="0"/>
        <v>0.8474493792550328</v>
      </c>
      <c r="G14" s="7">
        <f t="shared" si="1"/>
        <v>0.5114219896273863</v>
      </c>
      <c r="H14" s="7">
        <f t="shared" si="2"/>
        <v>0.2021212077414905</v>
      </c>
      <c r="I14" s="5">
        <f t="shared" si="3"/>
        <v>0.5815229132310035</v>
      </c>
      <c r="J14" s="19"/>
      <c r="K14" s="24">
        <v>1994</v>
      </c>
      <c r="L14" s="32">
        <f t="shared" si="5"/>
        <v>60.96215934026862</v>
      </c>
      <c r="M14" s="32">
        <f t="shared" si="5"/>
        <v>21.2807190615721</v>
      </c>
      <c r="N14" s="33">
        <f t="shared" si="5"/>
        <v>6.313141000896641</v>
      </c>
      <c r="O14" s="1"/>
      <c r="P14" s="1"/>
      <c r="Q14" s="1"/>
      <c r="R14" s="1"/>
      <c r="S14" s="1"/>
      <c r="T14" s="1"/>
      <c r="U14" s="1"/>
      <c r="V14" s="1"/>
    </row>
    <row r="15" spans="1:22" ht="15">
      <c r="A15" s="25">
        <v>1902</v>
      </c>
      <c r="B15" s="26">
        <v>83.94125384855192</v>
      </c>
      <c r="C15" s="26">
        <v>51.64162641918324</v>
      </c>
      <c r="D15" s="27">
        <v>23.11696541453175</v>
      </c>
      <c r="E15" s="3">
        <f t="shared" si="4"/>
        <v>1900</v>
      </c>
      <c r="F15" s="7">
        <f>1.01*L6/100</f>
        <v>0.8734180550321077</v>
      </c>
      <c r="G15" s="7">
        <f>1.05*M6/100</f>
        <v>0.5866712575762003</v>
      </c>
      <c r="H15" s="7">
        <f>1.05*N6/100</f>
        <v>0.28082988143913723</v>
      </c>
      <c r="I15" s="5">
        <f>1.02*C38/100</f>
        <v>0.6607169988551971</v>
      </c>
      <c r="J15" s="28"/>
      <c r="K15" s="37">
        <v>1902</v>
      </c>
      <c r="L15" s="28">
        <v>83.94125384855192</v>
      </c>
      <c r="M15" s="28">
        <v>51.64162641918324</v>
      </c>
      <c r="N15" s="38">
        <v>23.11696541453175</v>
      </c>
      <c r="O15" s="1"/>
      <c r="P15" s="1"/>
      <c r="Q15" s="1"/>
      <c r="R15" s="1"/>
      <c r="S15" s="1"/>
      <c r="T15" s="1"/>
      <c r="U15" s="1"/>
      <c r="V15" s="1"/>
    </row>
    <row r="16" spans="1:22" ht="15">
      <c r="A16" s="25">
        <v>1913</v>
      </c>
      <c r="B16" s="26">
        <v>86.27448906569498</v>
      </c>
      <c r="C16" s="26">
        <v>54.906160744834565</v>
      </c>
      <c r="D16" s="27">
        <v>26.03134986819208</v>
      </c>
      <c r="E16" s="3">
        <v>1910</v>
      </c>
      <c r="F16" s="7">
        <f>1.02*L7/100</f>
        <v>0.8849613304738441</v>
      </c>
      <c r="G16" s="7">
        <f>1.08*M7/100</f>
        <v>0.6049945196533658</v>
      </c>
      <c r="H16" s="7">
        <f>1.08*N7/100</f>
        <v>0.28975911158897133</v>
      </c>
      <c r="I16" s="5">
        <f>1.05*(C39/100+C49)/2</f>
        <v>0.7072090458420042</v>
      </c>
      <c r="J16" s="19"/>
      <c r="K16" s="37">
        <v>1903</v>
      </c>
      <c r="L16" s="28">
        <v>86.13113006196897</v>
      </c>
      <c r="M16" s="28">
        <v>54.43973785264904</v>
      </c>
      <c r="N16" s="38">
        <v>24.403383434346253</v>
      </c>
      <c r="O16" s="1"/>
      <c r="P16" s="1"/>
      <c r="Q16" s="1"/>
      <c r="R16" s="1"/>
      <c r="S16" s="1"/>
      <c r="T16" s="1"/>
      <c r="U16" s="1"/>
      <c r="V16" s="1"/>
    </row>
    <row r="17" spans="1:22" ht="15">
      <c r="A17" s="25">
        <v>1929</v>
      </c>
      <c r="B17" s="26">
        <v>82.00714291115013</v>
      </c>
      <c r="C17" s="26">
        <v>50.24302838024614</v>
      </c>
      <c r="D17" s="27">
        <v>24.7289759637055</v>
      </c>
      <c r="E17" s="3">
        <v>1920</v>
      </c>
      <c r="F17" s="7">
        <f>1.01*L8/100</f>
        <v>0.8165627889330043</v>
      </c>
      <c r="G17" s="7">
        <f aca="true" t="shared" si="6" ref="G17:H21">1.05*M8/100</f>
        <v>0.4923438714201401</v>
      </c>
      <c r="H17" s="7">
        <f t="shared" si="6"/>
        <v>0.23106962239195156</v>
      </c>
      <c r="I17" s="5">
        <f>1.02*(C50+C51)/2</f>
        <v>0.6003279456437062</v>
      </c>
      <c r="J17" s="20"/>
      <c r="K17" s="37">
        <v>1904</v>
      </c>
      <c r="L17" s="28">
        <v>87.53571005197301</v>
      </c>
      <c r="M17" s="28">
        <v>58.124610910333836</v>
      </c>
      <c r="N17" s="38">
        <v>29.79404515933828</v>
      </c>
      <c r="O17" s="1"/>
      <c r="P17" s="1"/>
      <c r="Q17" s="1"/>
      <c r="R17" s="1"/>
      <c r="S17" s="1"/>
      <c r="T17" s="1"/>
      <c r="U17" s="1"/>
      <c r="V17" s="1"/>
    </row>
    <row r="18" spans="1:22" ht="15">
      <c r="A18" s="25">
        <v>1938</v>
      </c>
      <c r="B18" s="26">
        <v>77.6227767948196</v>
      </c>
      <c r="C18" s="26">
        <v>42.01574692629628</v>
      </c>
      <c r="D18" s="27">
        <v>19.941218959714714</v>
      </c>
      <c r="E18" s="3">
        <v>1930</v>
      </c>
      <c r="F18" s="7">
        <f>1.01*L9/100</f>
        <v>0.7995862635205542</v>
      </c>
      <c r="G18" s="7">
        <f t="shared" si="6"/>
        <v>0.4735136010309913</v>
      </c>
      <c r="H18" s="7">
        <f t="shared" si="6"/>
        <v>0.22364816902078286</v>
      </c>
      <c r="I18" s="5">
        <f>1.02*(C52+C53)/2</f>
        <v>0.5476320631844506</v>
      </c>
      <c r="J18" s="20"/>
      <c r="K18" s="37">
        <v>1905</v>
      </c>
      <c r="L18" s="28">
        <v>88.09023040568466</v>
      </c>
      <c r="M18" s="28">
        <v>59.74678713093439</v>
      </c>
      <c r="N18" s="38">
        <v>31.649003433594004</v>
      </c>
      <c r="O18" s="1"/>
      <c r="P18" s="1"/>
      <c r="Q18" s="1"/>
      <c r="R18" s="1"/>
      <c r="S18" s="1"/>
      <c r="T18" s="1"/>
      <c r="U18" s="1"/>
      <c r="V18" s="1"/>
    </row>
    <row r="19" spans="1:22" ht="15">
      <c r="A19" s="25">
        <v>1947</v>
      </c>
      <c r="B19" s="26">
        <v>69.85999902326839</v>
      </c>
      <c r="C19" s="26">
        <v>29.923370087631422</v>
      </c>
      <c r="D19" s="27">
        <v>10.98369291413475</v>
      </c>
      <c r="E19" s="3">
        <f t="shared" si="4"/>
        <v>1940</v>
      </c>
      <c r="F19" s="7">
        <f>1.01*L10/100</f>
        <v>0.757792254497076</v>
      </c>
      <c r="G19" s="7">
        <f t="shared" si="6"/>
        <v>0.3630260303208378</v>
      </c>
      <c r="H19" s="7">
        <f t="shared" si="6"/>
        <v>0.1367665907496971</v>
      </c>
      <c r="I19" s="5">
        <f>1.02*C53</f>
        <v>0.5241158672001635</v>
      </c>
      <c r="J19" s="20"/>
      <c r="K19" s="37">
        <v>1907</v>
      </c>
      <c r="L19" s="28">
        <v>86.25505189527279</v>
      </c>
      <c r="M19" s="28">
        <v>54.44735231866188</v>
      </c>
      <c r="N19" s="38">
        <v>23.92754150417066</v>
      </c>
      <c r="O19" s="1"/>
      <c r="P19" s="1"/>
      <c r="Q19" s="1"/>
      <c r="R19" s="1"/>
      <c r="S19" s="1"/>
      <c r="T19" s="1"/>
      <c r="U19" s="1"/>
      <c r="V19" s="1"/>
    </row>
    <row r="20" spans="1:22" ht="15">
      <c r="A20" s="25">
        <v>1956</v>
      </c>
      <c r="B20" s="26">
        <v>69.43519339786458</v>
      </c>
      <c r="C20" s="26">
        <v>30.376371165948942</v>
      </c>
      <c r="D20" s="27">
        <v>10.989581935807843</v>
      </c>
      <c r="E20" s="3">
        <f t="shared" si="4"/>
        <v>1950</v>
      </c>
      <c r="F20" s="7">
        <f>1.01*L11/100</f>
        <v>0.7279647007145639</v>
      </c>
      <c r="G20" s="7">
        <f t="shared" si="6"/>
        <v>0.3340325586128112</v>
      </c>
      <c r="H20" s="7">
        <f t="shared" si="6"/>
        <v>0.12062614946961507</v>
      </c>
      <c r="I20" s="5">
        <f>1.02*C42/100</f>
        <v>0.3885572601753055</v>
      </c>
      <c r="J20" s="20"/>
      <c r="K20" s="37">
        <v>1909</v>
      </c>
      <c r="L20" s="28">
        <v>86.90883464671151</v>
      </c>
      <c r="M20" s="28">
        <v>56.840603983209235</v>
      </c>
      <c r="N20" s="38">
        <v>27.583279019240308</v>
      </c>
      <c r="O20" s="1"/>
      <c r="P20" s="1"/>
      <c r="Q20" s="1"/>
      <c r="R20" s="1"/>
      <c r="S20" s="1"/>
      <c r="T20" s="1"/>
      <c r="U20" s="1"/>
      <c r="V20" s="1"/>
    </row>
    <row r="21" spans="1:22" ht="15">
      <c r="A21" s="25">
        <v>1994</v>
      </c>
      <c r="B21" s="26">
        <v>60.96215934026862</v>
      </c>
      <c r="C21" s="26">
        <v>21.2807190615721</v>
      </c>
      <c r="D21" s="27">
        <v>6.313141000896641</v>
      </c>
      <c r="E21" s="3">
        <f t="shared" si="4"/>
        <v>1960</v>
      </c>
      <c r="F21" s="7">
        <f>1.01*L12/100</f>
        <v>0.6994262587027165</v>
      </c>
      <c r="G21" s="7">
        <f t="shared" si="6"/>
        <v>0.3189640764283639</v>
      </c>
      <c r="H21" s="7">
        <f t="shared" si="6"/>
        <v>0.11488856035073748</v>
      </c>
      <c r="I21" s="5">
        <f>1.02*C43/100</f>
        <v>0.35285395430221905</v>
      </c>
      <c r="J21" s="20"/>
      <c r="K21" s="37">
        <v>1910</v>
      </c>
      <c r="L21" s="28">
        <v>86.07964114744314</v>
      </c>
      <c r="M21" s="28">
        <v>54.39491431439255</v>
      </c>
      <c r="N21" s="38">
        <v>23.942114502660523</v>
      </c>
      <c r="O21" s="1"/>
      <c r="P21" s="1"/>
      <c r="Q21" s="1"/>
      <c r="R21" s="1"/>
      <c r="S21" s="1"/>
      <c r="T21" s="1"/>
      <c r="U21" s="1"/>
      <c r="V21" s="1"/>
    </row>
    <row r="22" spans="1:22" ht="15">
      <c r="A22" s="25"/>
      <c r="B22" s="26"/>
      <c r="C22" s="26"/>
      <c r="D22" s="27"/>
      <c r="E22" s="3">
        <f t="shared" si="4"/>
        <v>1970</v>
      </c>
      <c r="F22" s="7">
        <v>0.62</v>
      </c>
      <c r="G22" s="7">
        <v>0.22</v>
      </c>
      <c r="H22" s="7">
        <v>0.07</v>
      </c>
      <c r="I22" s="5">
        <v>0.255</v>
      </c>
      <c r="J22" s="20"/>
      <c r="K22" s="37">
        <v>1911</v>
      </c>
      <c r="L22" s="28">
        <v>87.6440967469096</v>
      </c>
      <c r="M22" s="28">
        <v>57.69112072785572</v>
      </c>
      <c r="N22" s="38">
        <v>28.443422201961713</v>
      </c>
      <c r="O22" s="1"/>
      <c r="P22" s="1"/>
      <c r="Q22" s="1"/>
      <c r="R22" s="1"/>
      <c r="S22" s="1"/>
      <c r="T22" s="1"/>
      <c r="U22" s="1"/>
      <c r="V22" s="1"/>
    </row>
    <row r="23" spans="1:22" ht="15">
      <c r="A23" s="25"/>
      <c r="B23" s="26"/>
      <c r="C23" s="26"/>
      <c r="D23" s="27"/>
      <c r="E23" s="3">
        <f t="shared" si="4"/>
        <v>1980</v>
      </c>
      <c r="F23" s="7">
        <f>F24*G23/G24</f>
        <v>0.6184276342339152</v>
      </c>
      <c r="G23" s="7">
        <f>1.02*M13/100</f>
        <v>0.22019883455897218</v>
      </c>
      <c r="H23" s="7">
        <f>1.02*N13/100</f>
        <v>0.06726281813875229</v>
      </c>
      <c r="I23" s="5">
        <v>0.25</v>
      </c>
      <c r="J23" s="20"/>
      <c r="K23" s="37">
        <v>1912</v>
      </c>
      <c r="L23" s="28">
        <v>87.04543204930292</v>
      </c>
      <c r="M23" s="28">
        <v>57.07984852897858</v>
      </c>
      <c r="N23" s="38">
        <v>28.90130290458246</v>
      </c>
      <c r="O23" s="1"/>
      <c r="P23" s="1"/>
      <c r="Q23" s="1"/>
      <c r="R23" s="1"/>
      <c r="S23" s="1"/>
      <c r="T23" s="1"/>
      <c r="U23" s="1"/>
      <c r="V23" s="1"/>
    </row>
    <row r="24" spans="1:22" ht="15">
      <c r="A24" s="25"/>
      <c r="B24" s="26"/>
      <c r="C24" s="26"/>
      <c r="D24" s="27"/>
      <c r="E24" s="3">
        <f t="shared" si="4"/>
        <v>1990</v>
      </c>
      <c r="F24" s="7">
        <f>1*B21/100</f>
        <v>0.6096215934026862</v>
      </c>
      <c r="G24" s="7">
        <f>1.02*C21/100</f>
        <v>0.21706333442803544</v>
      </c>
      <c r="H24" s="7">
        <f>1.02*D21/100</f>
        <v>0.06439403820914574</v>
      </c>
      <c r="I24" s="5">
        <f>1.02*C44/100</f>
        <v>0.24157756873433928</v>
      </c>
      <c r="J24" s="20"/>
      <c r="K24" s="37">
        <v>1913</v>
      </c>
      <c r="L24" s="28">
        <v>86.27448906569498</v>
      </c>
      <c r="M24" s="28">
        <v>54.906160744834565</v>
      </c>
      <c r="N24" s="38">
        <v>26.03134986819208</v>
      </c>
      <c r="O24" s="1"/>
      <c r="P24" s="1"/>
      <c r="Q24" s="1"/>
      <c r="R24" s="1"/>
      <c r="S24" s="1"/>
      <c r="T24" s="1"/>
      <c r="U24" s="1"/>
      <c r="V24" s="1"/>
    </row>
    <row r="25" spans="1:22" ht="15">
      <c r="A25" s="25"/>
      <c r="B25" s="26"/>
      <c r="C25" s="26"/>
      <c r="D25" s="27"/>
      <c r="E25" s="3">
        <f t="shared" si="4"/>
        <v>2000</v>
      </c>
      <c r="F25" s="7">
        <v>0.621</v>
      </c>
      <c r="G25" s="7">
        <v>0.235</v>
      </c>
      <c r="H25" s="7">
        <f>(H24/G24)*G25</f>
        <v>0.06971513184860922</v>
      </c>
      <c r="I25" s="5">
        <f>G25*I24/G24</f>
        <v>0.2615399270547525</v>
      </c>
      <c r="J25" s="20"/>
      <c r="K25" s="37">
        <v>1925</v>
      </c>
      <c r="L25" s="28">
        <v>80.34797220666442</v>
      </c>
      <c r="M25" s="28">
        <v>44.603374991862935</v>
      </c>
      <c r="N25" s="38">
        <v>19.25821548921684</v>
      </c>
      <c r="O25" s="1"/>
      <c r="P25" s="1"/>
      <c r="Q25" s="1"/>
      <c r="R25" s="1"/>
      <c r="S25" s="1"/>
      <c r="T25" s="1"/>
      <c r="U25" s="1"/>
      <c r="V25" s="1"/>
    </row>
    <row r="26" spans="1:22" ht="15" thickBot="1">
      <c r="A26" s="25"/>
      <c r="B26" s="26"/>
      <c r="C26" s="26"/>
      <c r="D26" s="27"/>
      <c r="E26" s="66">
        <f t="shared" si="4"/>
        <v>2010</v>
      </c>
      <c r="F26" s="12">
        <v>0.624</v>
      </c>
      <c r="G26" s="12">
        <v>0.244</v>
      </c>
      <c r="H26" s="12">
        <f>(H25/G25)*G26</f>
        <v>0.0723850730683432</v>
      </c>
      <c r="I26" s="14">
        <f>G26*I25/G25</f>
        <v>0.2715563497930196</v>
      </c>
      <c r="J26" s="20"/>
      <c r="K26" s="37">
        <v>1926</v>
      </c>
      <c r="L26" s="28">
        <v>80.00579617273738</v>
      </c>
      <c r="M26" s="28">
        <v>45.120416950929396</v>
      </c>
      <c r="N26" s="38">
        <v>21.194919303429405</v>
      </c>
      <c r="O26" s="1"/>
      <c r="P26" s="1"/>
      <c r="Q26" s="1"/>
      <c r="R26" s="1"/>
      <c r="S26" s="1"/>
      <c r="T26" s="1"/>
      <c r="U26" s="1"/>
      <c r="V26" s="1"/>
    </row>
    <row r="27" spans="1:22" ht="30" customHeight="1" thickTop="1">
      <c r="A27" s="233" t="s">
        <v>32</v>
      </c>
      <c r="B27" s="234"/>
      <c r="C27" s="234"/>
      <c r="D27" s="235"/>
      <c r="E27" s="227" t="s">
        <v>38</v>
      </c>
      <c r="F27" s="228"/>
      <c r="G27" s="228"/>
      <c r="H27" s="228"/>
      <c r="I27" s="236"/>
      <c r="J27" s="237"/>
      <c r="K27" s="37">
        <v>1927</v>
      </c>
      <c r="L27" s="28">
        <v>81.03029224727152</v>
      </c>
      <c r="M27" s="28">
        <v>47.59274974177681</v>
      </c>
      <c r="N27" s="38">
        <v>22.84441205962979</v>
      </c>
      <c r="O27" s="1"/>
      <c r="P27" s="1"/>
      <c r="Q27" s="1"/>
      <c r="R27" s="1"/>
      <c r="S27" s="1"/>
      <c r="T27" s="1"/>
      <c r="U27" s="1"/>
      <c r="V27" s="1"/>
    </row>
    <row r="28" spans="1:22" ht="60">
      <c r="A28" s="21"/>
      <c r="B28" s="22" t="s">
        <v>22</v>
      </c>
      <c r="C28" s="22" t="s">
        <v>23</v>
      </c>
      <c r="D28" s="23" t="s">
        <v>24</v>
      </c>
      <c r="E28" s="24" t="s">
        <v>22</v>
      </c>
      <c r="F28" s="22" t="s">
        <v>23</v>
      </c>
      <c r="G28" s="22" t="s">
        <v>24</v>
      </c>
      <c r="H28" s="22" t="s">
        <v>33</v>
      </c>
      <c r="I28" s="22" t="s">
        <v>34</v>
      </c>
      <c r="J28" s="23" t="s">
        <v>35</v>
      </c>
      <c r="K28" s="37">
        <v>1929</v>
      </c>
      <c r="L28" s="28">
        <v>82.00714291115013</v>
      </c>
      <c r="M28" s="28">
        <v>50.24302838024614</v>
      </c>
      <c r="N28" s="38">
        <v>24.7289759637055</v>
      </c>
      <c r="O28" s="1"/>
      <c r="P28" s="1"/>
      <c r="Q28" s="1"/>
      <c r="R28" s="1"/>
      <c r="S28" s="1"/>
      <c r="T28" s="1"/>
      <c r="U28" s="1"/>
      <c r="V28" s="1"/>
    </row>
    <row r="29" spans="1:22" ht="15">
      <c r="A29" s="25">
        <v>1807</v>
      </c>
      <c r="B29" s="26">
        <v>96.0398505603985</v>
      </c>
      <c r="C29" s="26">
        <v>51.17790428749333</v>
      </c>
      <c r="D29" s="27">
        <v>17.91714997331436</v>
      </c>
      <c r="E29" s="39">
        <v>96.45705172020962</v>
      </c>
      <c r="F29" s="40">
        <v>53.93073593073593</v>
      </c>
      <c r="G29" s="28">
        <v>12.79332421964001</v>
      </c>
      <c r="H29" s="41">
        <f>E29/B29</f>
        <v>1.0043440421593404</v>
      </c>
      <c r="I29" s="41">
        <f aca="true" t="shared" si="7" ref="I29:I38">F29/C29</f>
        <v>1.0537894562422583</v>
      </c>
      <c r="J29" s="42">
        <f aca="true" t="shared" si="8" ref="J29:J38">G29/D29</f>
        <v>0.714026741903387</v>
      </c>
      <c r="K29" s="37">
        <v>1930</v>
      </c>
      <c r="L29" s="28">
        <v>81.5929356121329</v>
      </c>
      <c r="M29" s="28">
        <v>50.303621176943416</v>
      </c>
      <c r="N29" s="38">
        <v>24.877135477175045</v>
      </c>
      <c r="O29" s="1"/>
      <c r="P29" s="1"/>
      <c r="Q29" s="1"/>
      <c r="R29" s="1"/>
      <c r="S29" s="1"/>
      <c r="T29" s="1"/>
      <c r="U29" s="1"/>
      <c r="V29" s="1"/>
    </row>
    <row r="30" spans="1:22" ht="15">
      <c r="A30" s="25">
        <v>1817</v>
      </c>
      <c r="B30" s="26">
        <v>97.64096467391305</v>
      </c>
      <c r="C30" s="26">
        <v>57.293648097826086</v>
      </c>
      <c r="D30" s="27">
        <v>22.76781589673913</v>
      </c>
      <c r="E30" s="39">
        <v>97.73785142431576</v>
      </c>
      <c r="F30" s="40">
        <v>59.282256563023644</v>
      </c>
      <c r="G30" s="28">
        <v>25.95479426549991</v>
      </c>
      <c r="H30" s="41">
        <f aca="true" t="shared" si="9" ref="H30:H38">E30/B30</f>
        <v>1.0009922756368321</v>
      </c>
      <c r="I30" s="41">
        <f t="shared" si="7"/>
        <v>1.0347090564350538</v>
      </c>
      <c r="J30" s="42">
        <f t="shared" si="8"/>
        <v>1.139977342719871</v>
      </c>
      <c r="K30" s="37">
        <v>1931</v>
      </c>
      <c r="L30" s="28">
        <v>79.9896080298488</v>
      </c>
      <c r="M30" s="28">
        <v>46.47347108898844</v>
      </c>
      <c r="N30" s="38">
        <v>21.55568648916087</v>
      </c>
      <c r="O30" s="1"/>
      <c r="P30" s="1"/>
      <c r="Q30" s="1"/>
      <c r="R30" s="1"/>
      <c r="S30" s="1"/>
      <c r="T30" s="1"/>
      <c r="U30" s="1"/>
      <c r="V30" s="1"/>
    </row>
    <row r="31" spans="1:22" ht="15">
      <c r="A31" s="25">
        <v>1827</v>
      </c>
      <c r="B31" s="26">
        <v>97.32075887932936</v>
      </c>
      <c r="C31" s="26">
        <v>49.49183763512023</v>
      </c>
      <c r="D31" s="27">
        <v>14.754875358482243</v>
      </c>
      <c r="E31" s="39">
        <v>97.23235527359239</v>
      </c>
      <c r="F31" s="40">
        <v>52.1268834258525</v>
      </c>
      <c r="G31" s="28">
        <v>18.17323552735924</v>
      </c>
      <c r="H31" s="41">
        <f t="shared" si="9"/>
        <v>0.9990916264242597</v>
      </c>
      <c r="I31" s="41">
        <f t="shared" si="7"/>
        <v>1.053242027708876</v>
      </c>
      <c r="J31" s="42">
        <f t="shared" si="8"/>
        <v>1.2316766550597704</v>
      </c>
      <c r="K31" s="37">
        <v>1932</v>
      </c>
      <c r="L31" s="28">
        <v>79.05695234222327</v>
      </c>
      <c r="M31" s="28">
        <v>44.76205984669424</v>
      </c>
      <c r="N31" s="38">
        <v>20.29512299451908</v>
      </c>
      <c r="O31" s="1"/>
      <c r="P31" s="1"/>
      <c r="Q31" s="1"/>
      <c r="R31" s="1"/>
      <c r="S31" s="1"/>
      <c r="T31" s="1"/>
      <c r="U31" s="1"/>
      <c r="V31" s="1"/>
    </row>
    <row r="32" spans="1:22" ht="15">
      <c r="A32" s="25">
        <v>1837</v>
      </c>
      <c r="B32" s="26">
        <v>97.71978587605518</v>
      </c>
      <c r="C32" s="26">
        <v>50.05198682314186</v>
      </c>
      <c r="D32" s="27">
        <v>14.762415071031501</v>
      </c>
      <c r="E32" s="39">
        <v>96.57710792544245</v>
      </c>
      <c r="F32" s="40">
        <v>50.536798330818485</v>
      </c>
      <c r="G32" s="28">
        <v>16.079048220479656</v>
      </c>
      <c r="H32" s="41">
        <f t="shared" si="9"/>
        <v>0.9883065856073193</v>
      </c>
      <c r="I32" s="41">
        <f t="shared" si="7"/>
        <v>1.0096861591007307</v>
      </c>
      <c r="J32" s="42">
        <f t="shared" si="8"/>
        <v>1.089188194689892</v>
      </c>
      <c r="K32" s="37">
        <v>1933</v>
      </c>
      <c r="L32" s="28">
        <v>79.51244668260036</v>
      </c>
      <c r="M32" s="28">
        <v>44.927111214431285</v>
      </c>
      <c r="N32" s="38">
        <v>20.190232167169533</v>
      </c>
      <c r="O32" s="1"/>
      <c r="P32" s="1"/>
      <c r="Q32" s="1"/>
      <c r="R32" s="1"/>
      <c r="S32" s="1"/>
      <c r="T32" s="1"/>
      <c r="U32" s="1"/>
      <c r="V32" s="1"/>
    </row>
    <row r="33" spans="1:22" ht="15">
      <c r="A33" s="25">
        <v>1847</v>
      </c>
      <c r="B33" s="26">
        <v>98.28474732712868</v>
      </c>
      <c r="C33" s="26">
        <v>55.789631566802555</v>
      </c>
      <c r="D33" s="27">
        <v>21.3350357664795</v>
      </c>
      <c r="E33" s="39">
        <v>97.06719233156832</v>
      </c>
      <c r="F33" s="40">
        <v>56.23649438357049</v>
      </c>
      <c r="G33" s="28">
        <v>15.611651187144062</v>
      </c>
      <c r="H33" s="41">
        <f t="shared" si="9"/>
        <v>0.987611963924495</v>
      </c>
      <c r="I33" s="41">
        <f t="shared" si="7"/>
        <v>1.0080097825387655</v>
      </c>
      <c r="J33" s="42">
        <f t="shared" si="8"/>
        <v>0.7317377555875616</v>
      </c>
      <c r="K33" s="37">
        <v>1935</v>
      </c>
      <c r="L33" s="28">
        <v>79.30748500122432</v>
      </c>
      <c r="M33" s="28">
        <v>46.09452583151876</v>
      </c>
      <c r="N33" s="38">
        <v>22.55569948532522</v>
      </c>
      <c r="O33" s="1"/>
      <c r="P33" s="1"/>
      <c r="Q33" s="1"/>
      <c r="R33" s="1"/>
      <c r="S33" s="1"/>
      <c r="T33" s="1"/>
      <c r="U33" s="1"/>
      <c r="V33" s="1"/>
    </row>
    <row r="34" spans="1:22" ht="15">
      <c r="A34" s="25">
        <v>1857</v>
      </c>
      <c r="B34" s="26">
        <v>96.87887357843432</v>
      </c>
      <c r="C34" s="26">
        <v>51.031108971658945</v>
      </c>
      <c r="D34" s="27">
        <v>13.350424213249896</v>
      </c>
      <c r="E34" s="39">
        <v>95.60984192428006</v>
      </c>
      <c r="F34" s="40">
        <v>55.14202120191509</v>
      </c>
      <c r="G34" s="28">
        <v>17.763533936494312</v>
      </c>
      <c r="H34" s="41">
        <f t="shared" si="9"/>
        <v>0.9869008421828229</v>
      </c>
      <c r="I34" s="41">
        <f t="shared" si="7"/>
        <v>1.0805569840259441</v>
      </c>
      <c r="J34" s="42">
        <f t="shared" si="8"/>
        <v>1.3305595127729752</v>
      </c>
      <c r="K34" s="37">
        <v>1936</v>
      </c>
      <c r="L34" s="28">
        <v>78.83438740722518</v>
      </c>
      <c r="M34" s="28">
        <v>45.773330646272676</v>
      </c>
      <c r="N34" s="38">
        <v>23.041866521925577</v>
      </c>
      <c r="O34" s="1"/>
      <c r="P34" s="1"/>
      <c r="Q34" s="1"/>
      <c r="R34" s="1"/>
      <c r="S34" s="1"/>
      <c r="T34" s="1"/>
      <c r="U34" s="1"/>
      <c r="V34" s="1"/>
    </row>
    <row r="35" spans="1:22" ht="15">
      <c r="A35" s="25">
        <v>1867</v>
      </c>
      <c r="B35" s="26">
        <v>97.05494293831559</v>
      </c>
      <c r="C35" s="26">
        <v>53.02503972648914</v>
      </c>
      <c r="D35" s="27">
        <v>16.276111137862955</v>
      </c>
      <c r="E35" s="39">
        <v>95.45155256249836</v>
      </c>
      <c r="F35" s="40">
        <v>54.97540463953932</v>
      </c>
      <c r="G35" s="28">
        <v>21.33606674470774</v>
      </c>
      <c r="H35" s="41">
        <f t="shared" si="9"/>
        <v>0.9834795598526468</v>
      </c>
      <c r="I35" s="41">
        <f t="shared" si="7"/>
        <v>1.03678196043059</v>
      </c>
      <c r="J35" s="42">
        <f t="shared" si="8"/>
        <v>1.310882345542226</v>
      </c>
      <c r="K35" s="37">
        <v>1937</v>
      </c>
      <c r="L35" s="28">
        <v>77.4722682684382</v>
      </c>
      <c r="M35" s="28">
        <v>42.62531101842218</v>
      </c>
      <c r="N35" s="38">
        <v>18.86256301251353</v>
      </c>
      <c r="O35" s="1"/>
      <c r="P35" s="1"/>
      <c r="Q35" s="1"/>
      <c r="R35" s="1"/>
      <c r="S35" s="1"/>
      <c r="T35" s="1"/>
      <c r="U35" s="1"/>
      <c r="V35" s="1"/>
    </row>
    <row r="36" spans="1:22" ht="15">
      <c r="A36" s="25">
        <v>1877</v>
      </c>
      <c r="B36" s="26">
        <v>96.89529051135573</v>
      </c>
      <c r="C36" s="26">
        <v>58.92524731782082</v>
      </c>
      <c r="D36" s="27">
        <v>24.607203566949984</v>
      </c>
      <c r="E36" s="39">
        <v>97.19003115264798</v>
      </c>
      <c r="F36" s="40">
        <v>63.516635514018695</v>
      </c>
      <c r="G36" s="28">
        <v>23.195158878504675</v>
      </c>
      <c r="H36" s="41">
        <f t="shared" si="9"/>
        <v>1.00304184692297</v>
      </c>
      <c r="I36" s="41">
        <f t="shared" si="7"/>
        <v>1.0779188616966449</v>
      </c>
      <c r="J36" s="42">
        <f t="shared" si="8"/>
        <v>0.9426166128709631</v>
      </c>
      <c r="K36" s="37">
        <v>1938</v>
      </c>
      <c r="L36" s="28">
        <v>77.6227767948196</v>
      </c>
      <c r="M36" s="28">
        <v>42.01574692629628</v>
      </c>
      <c r="N36" s="38">
        <v>19.941218959714714</v>
      </c>
      <c r="O36" s="1"/>
      <c r="P36" s="1"/>
      <c r="Q36" s="1"/>
      <c r="R36" s="1"/>
      <c r="S36" s="1"/>
      <c r="T36" s="1"/>
      <c r="U36" s="1"/>
      <c r="V36" s="1"/>
    </row>
    <row r="37" spans="1:22" ht="15">
      <c r="A37" s="25">
        <v>1887</v>
      </c>
      <c r="B37" s="26">
        <v>97.05790942534568</v>
      </c>
      <c r="C37" s="26">
        <v>55.3831345934289</v>
      </c>
      <c r="D37" s="27">
        <v>20.10228339464671</v>
      </c>
      <c r="E37" s="39">
        <v>97.52439950908771</v>
      </c>
      <c r="F37" s="40">
        <v>61.44550289287593</v>
      </c>
      <c r="G37" s="28">
        <v>20.530074221261177</v>
      </c>
      <c r="H37" s="41">
        <f t="shared" si="9"/>
        <v>1.0048063067348554</v>
      </c>
      <c r="I37" s="41">
        <f t="shared" si="7"/>
        <v>1.1094623542699642</v>
      </c>
      <c r="J37" s="42">
        <f t="shared" si="8"/>
        <v>1.0212807081770814</v>
      </c>
      <c r="K37" s="37">
        <v>1939</v>
      </c>
      <c r="L37" s="28">
        <v>79.11375091940688</v>
      </c>
      <c r="M37" s="28">
        <v>42.89362313413955</v>
      </c>
      <c r="N37" s="38">
        <v>20.378905481738858</v>
      </c>
      <c r="O37" s="1"/>
      <c r="P37" s="1"/>
      <c r="Q37" s="1"/>
      <c r="R37" s="1"/>
      <c r="S37" s="1"/>
      <c r="T37" s="1"/>
      <c r="U37" s="1"/>
      <c r="V37" s="1"/>
    </row>
    <row r="38" spans="1:22" ht="15">
      <c r="A38" s="25">
        <v>1902</v>
      </c>
      <c r="B38" s="26">
        <v>99.14286552969149</v>
      </c>
      <c r="C38" s="26">
        <v>64.77617635835266</v>
      </c>
      <c r="D38" s="27">
        <v>26.086705609534153</v>
      </c>
      <c r="E38" s="39">
        <v>86.11491899590528</v>
      </c>
      <c r="F38" s="40">
        <v>74.39821078867723</v>
      </c>
      <c r="G38" s="28">
        <v>38.24607441694855</v>
      </c>
      <c r="H38" s="41">
        <f t="shared" si="9"/>
        <v>0.8685942103430068</v>
      </c>
      <c r="I38" s="41">
        <f t="shared" si="7"/>
        <v>1.1485427972329498</v>
      </c>
      <c r="J38" s="42">
        <f t="shared" si="8"/>
        <v>1.4661136208387464</v>
      </c>
      <c r="K38" s="37">
        <v>1940</v>
      </c>
      <c r="L38" s="28">
        <v>81.73223555472848</v>
      </c>
      <c r="M38" s="28">
        <v>38.654117818111835</v>
      </c>
      <c r="N38" s="38">
        <v>15.285007630063937</v>
      </c>
      <c r="O38" s="1"/>
      <c r="P38" s="1"/>
      <c r="Q38" s="1"/>
      <c r="R38" s="1"/>
      <c r="S38" s="1"/>
      <c r="T38" s="1"/>
      <c r="U38" s="1"/>
      <c r="V38" s="1"/>
    </row>
    <row r="39" spans="1:22" ht="15">
      <c r="A39" s="25">
        <v>1913</v>
      </c>
      <c r="B39" s="26">
        <v>99.59304377737733</v>
      </c>
      <c r="C39" s="26">
        <v>72.10195423357737</v>
      </c>
      <c r="D39" s="27">
        <v>32.75774220949278</v>
      </c>
      <c r="E39" s="39"/>
      <c r="F39" s="40"/>
      <c r="G39" s="28"/>
      <c r="H39" s="20"/>
      <c r="I39" s="20"/>
      <c r="J39" s="43"/>
      <c r="K39" s="37">
        <v>1941</v>
      </c>
      <c r="L39" s="28">
        <v>75.25559436071278</v>
      </c>
      <c r="M39" s="28">
        <v>34.881612012892305</v>
      </c>
      <c r="N39" s="38">
        <v>13.275199925019125</v>
      </c>
      <c r="O39" s="1"/>
      <c r="P39" s="1"/>
      <c r="Q39" s="1"/>
      <c r="R39" s="1"/>
      <c r="S39" s="1"/>
      <c r="T39" s="1"/>
      <c r="U39" s="1"/>
      <c r="V39" s="1"/>
    </row>
    <row r="40" spans="1:22" ht="15">
      <c r="A40" s="25">
        <v>1929</v>
      </c>
      <c r="B40" s="26">
        <v>94.8796838676373</v>
      </c>
      <c r="C40" s="26">
        <v>63.122885961973175</v>
      </c>
      <c r="D40" s="27">
        <v>26.433311916374866</v>
      </c>
      <c r="E40" s="44"/>
      <c r="F40" s="45"/>
      <c r="G40" s="45"/>
      <c r="H40" s="20"/>
      <c r="I40" s="20"/>
      <c r="J40" s="43"/>
      <c r="K40" s="37">
        <v>1942</v>
      </c>
      <c r="L40" s="28">
        <v>75.94883076565306</v>
      </c>
      <c r="M40" s="28">
        <v>36.84741925750747</v>
      </c>
      <c r="N40" s="38">
        <v>14.090444972544665</v>
      </c>
      <c r="O40" s="1"/>
      <c r="P40" s="1"/>
      <c r="Q40" s="1"/>
      <c r="R40" s="1"/>
      <c r="S40" s="1"/>
      <c r="T40" s="1"/>
      <c r="U40" s="1"/>
      <c r="V40" s="1"/>
    </row>
    <row r="41" spans="1:22" ht="15">
      <c r="A41" s="25">
        <v>1938</v>
      </c>
      <c r="B41" s="26">
        <v>90.39352000675596</v>
      </c>
      <c r="C41" s="26">
        <v>53.64297373199664</v>
      </c>
      <c r="D41" s="27">
        <v>24.113468540851432</v>
      </c>
      <c r="E41" s="44"/>
      <c r="F41" s="45"/>
      <c r="G41" s="45"/>
      <c r="H41" s="20"/>
      <c r="I41" s="20"/>
      <c r="J41" s="43"/>
      <c r="K41" s="37">
        <v>1943</v>
      </c>
      <c r="L41" s="28">
        <v>76.5370169829096</v>
      </c>
      <c r="M41" s="28">
        <v>36.835267625103164</v>
      </c>
      <c r="N41" s="38">
        <v>13.48317289458794</v>
      </c>
      <c r="O41" s="1"/>
      <c r="P41" s="1"/>
      <c r="Q41" s="1"/>
      <c r="R41" s="1"/>
      <c r="S41" s="1"/>
      <c r="T41" s="1"/>
      <c r="U41" s="1"/>
      <c r="V41" s="1"/>
    </row>
    <row r="42" spans="1:22" ht="15">
      <c r="A42" s="25">
        <v>1947</v>
      </c>
      <c r="B42" s="26">
        <v>76.68633447029045</v>
      </c>
      <c r="C42" s="26">
        <v>38.09384903679466</v>
      </c>
      <c r="D42" s="27">
        <v>14.800255898176685</v>
      </c>
      <c r="E42" s="39">
        <v>70.2348799863347</v>
      </c>
      <c r="F42" s="40">
        <v>28.636905714996367</v>
      </c>
      <c r="G42" s="28">
        <v>10.034150455917342</v>
      </c>
      <c r="H42" s="41">
        <f>E42/B19</f>
        <v>1.0053661747539024</v>
      </c>
      <c r="I42" s="41">
        <f>F42/C19</f>
        <v>0.9570080385709361</v>
      </c>
      <c r="J42" s="42">
        <f>G42/D19</f>
        <v>0.9135497991758804</v>
      </c>
      <c r="K42" s="37">
        <v>1944</v>
      </c>
      <c r="L42" s="28">
        <v>79.37369443556851</v>
      </c>
      <c r="M42" s="28">
        <v>38.28407925059893</v>
      </c>
      <c r="N42" s="38">
        <v>15.086211659625905</v>
      </c>
      <c r="O42" s="1"/>
      <c r="P42" s="1"/>
      <c r="Q42" s="1"/>
      <c r="R42" s="1"/>
      <c r="S42" s="1"/>
      <c r="T42" s="1"/>
      <c r="U42" s="1"/>
      <c r="V42" s="1"/>
    </row>
    <row r="43" spans="1:22" ht="15">
      <c r="A43" s="25">
        <v>1956</v>
      </c>
      <c r="B43" s="26">
        <v>75.03682297203882</v>
      </c>
      <c r="C43" s="26">
        <v>34.5935249315901</v>
      </c>
      <c r="D43" s="27">
        <v>11.672890224053033</v>
      </c>
      <c r="E43" s="21"/>
      <c r="F43" s="20"/>
      <c r="G43" s="20"/>
      <c r="H43" s="41"/>
      <c r="I43" s="41"/>
      <c r="J43" s="42"/>
      <c r="K43" s="37">
        <v>1945</v>
      </c>
      <c r="L43" s="28">
        <v>75.85049029427418</v>
      </c>
      <c r="M43" s="28">
        <v>35.26307479645901</v>
      </c>
      <c r="N43" s="38">
        <v>13.418877566065463</v>
      </c>
      <c r="O43" s="1"/>
      <c r="P43" s="1"/>
      <c r="Q43" s="1"/>
      <c r="R43" s="1"/>
      <c r="S43" s="1"/>
      <c r="T43" s="1"/>
      <c r="U43" s="1"/>
      <c r="V43" s="1"/>
    </row>
    <row r="44" spans="1:22" ht="15" thickBot="1">
      <c r="A44" s="46">
        <v>1994</v>
      </c>
      <c r="B44" s="47">
        <v>66.89484849475892</v>
      </c>
      <c r="C44" s="47">
        <v>23.684075366111696</v>
      </c>
      <c r="D44" s="48">
        <v>6.537881549932251</v>
      </c>
      <c r="E44" s="49">
        <v>64.26559771431612</v>
      </c>
      <c r="F44" s="50">
        <v>20.213506218869533</v>
      </c>
      <c r="G44" s="51">
        <v>6.837963405515501</v>
      </c>
      <c r="H44" s="52">
        <f>E44/B21</f>
        <v>1.0541883425685252</v>
      </c>
      <c r="I44" s="52">
        <f>F44/C21</f>
        <v>0.9498507151184709</v>
      </c>
      <c r="J44" s="53">
        <f>G44/D21</f>
        <v>1.0831317413224766</v>
      </c>
      <c r="K44" s="37">
        <v>1946</v>
      </c>
      <c r="L44" s="28">
        <v>70.94616190193209</v>
      </c>
      <c r="M44" s="28">
        <v>30.666217637206756</v>
      </c>
      <c r="N44" s="38">
        <v>10.941421092323793</v>
      </c>
      <c r="O44" s="1"/>
      <c r="P44" s="1"/>
      <c r="Q44" s="1"/>
      <c r="R44" s="1"/>
      <c r="S44" s="1"/>
      <c r="T44" s="1"/>
      <c r="U44" s="1"/>
      <c r="V44" s="1"/>
    </row>
    <row r="45" spans="1:22" ht="15" thickTop="1">
      <c r="A45" s="222" t="s">
        <v>52</v>
      </c>
      <c r="B45" s="223"/>
      <c r="C45" s="223"/>
      <c r="D45" s="195"/>
      <c r="E45" s="20"/>
      <c r="F45" s="20"/>
      <c r="G45" s="20"/>
      <c r="H45" s="20"/>
      <c r="I45" s="20"/>
      <c r="J45" s="20"/>
      <c r="K45" s="37">
        <v>1947</v>
      </c>
      <c r="L45" s="28">
        <v>69.85999902326839</v>
      </c>
      <c r="M45" s="28">
        <v>29.923370087631422</v>
      </c>
      <c r="N45" s="38">
        <v>10.98369291413475</v>
      </c>
      <c r="O45" s="1"/>
      <c r="P45" s="1"/>
      <c r="Q45" s="1"/>
      <c r="R45" s="1"/>
      <c r="S45" s="1"/>
      <c r="T45" s="1"/>
      <c r="U45" s="1"/>
      <c r="V45" s="1"/>
    </row>
    <row r="46" spans="1:22" ht="15" thickBot="1">
      <c r="A46" s="224"/>
      <c r="B46" s="225"/>
      <c r="C46" s="225"/>
      <c r="D46" s="226"/>
      <c r="E46" s="20"/>
      <c r="F46" s="20"/>
      <c r="G46" s="20"/>
      <c r="H46" s="20"/>
      <c r="I46" s="20"/>
      <c r="J46" s="20"/>
      <c r="K46" s="37">
        <v>1948</v>
      </c>
      <c r="L46" s="28">
        <v>71.12362482846697</v>
      </c>
      <c r="M46" s="28">
        <v>30.378211834891136</v>
      </c>
      <c r="N46" s="38">
        <v>11.011160037414156</v>
      </c>
      <c r="O46" s="1"/>
      <c r="P46" s="1"/>
      <c r="Q46" s="1"/>
      <c r="R46" s="1"/>
      <c r="S46" s="1"/>
      <c r="T46" s="1"/>
      <c r="U46" s="1"/>
      <c r="V46" s="1"/>
    </row>
    <row r="47" spans="1:22" ht="18" thickTop="1">
      <c r="A47" s="70">
        <v>1872</v>
      </c>
      <c r="B47" s="69">
        <v>0.9466915297295244</v>
      </c>
      <c r="C47" s="69">
        <v>0.5122463321042237</v>
      </c>
      <c r="D47" s="55"/>
      <c r="E47" s="67"/>
      <c r="F47" s="68"/>
      <c r="G47" s="68"/>
      <c r="H47" s="68"/>
      <c r="I47" s="20"/>
      <c r="J47" s="20"/>
      <c r="K47" s="37">
        <v>1949</v>
      </c>
      <c r="L47" s="28">
        <v>73.66171274068002</v>
      </c>
      <c r="M47" s="28">
        <v>34.00570617563395</v>
      </c>
      <c r="N47" s="38">
        <v>12.678707260312741</v>
      </c>
      <c r="O47" s="1"/>
      <c r="P47" s="1"/>
      <c r="Q47" s="1"/>
      <c r="R47" s="1"/>
      <c r="S47" s="1"/>
      <c r="T47" s="1"/>
      <c r="U47" s="1"/>
      <c r="V47" s="1"/>
    </row>
    <row r="48" spans="1:22" ht="17.25">
      <c r="A48" s="54">
        <v>1882</v>
      </c>
      <c r="B48" s="69">
        <v>0.9573246625386522</v>
      </c>
      <c r="C48" s="69">
        <v>0.5386996975989855</v>
      </c>
      <c r="D48" s="55"/>
      <c r="E48" s="67"/>
      <c r="F48" s="68"/>
      <c r="G48" s="68"/>
      <c r="H48" s="68"/>
      <c r="I48" s="20"/>
      <c r="J48" s="20"/>
      <c r="K48" s="37">
        <v>1950</v>
      </c>
      <c r="L48" s="28">
        <v>74.33813774402257</v>
      </c>
      <c r="M48" s="28">
        <v>33.60622253229936</v>
      </c>
      <c r="N48" s="38">
        <v>12.74058454544899</v>
      </c>
      <c r="O48" s="1"/>
      <c r="P48" s="1"/>
      <c r="Q48" s="1"/>
      <c r="R48" s="1"/>
      <c r="S48" s="1"/>
      <c r="T48" s="1"/>
      <c r="U48" s="1"/>
      <c r="V48" s="1"/>
    </row>
    <row r="49" spans="1:22" ht="17.25">
      <c r="A49" s="54">
        <v>1912</v>
      </c>
      <c r="B49" s="69">
        <v>0.9617951989073147</v>
      </c>
      <c r="C49" s="69">
        <v>0.6260453068870911</v>
      </c>
      <c r="D49" s="55"/>
      <c r="E49" s="67"/>
      <c r="F49" s="68"/>
      <c r="G49" s="68"/>
      <c r="H49" s="68"/>
      <c r="I49" s="20"/>
      <c r="J49" s="20"/>
      <c r="K49" s="37">
        <v>1951</v>
      </c>
      <c r="L49" s="28">
        <v>72.37153009605991</v>
      </c>
      <c r="M49" s="28">
        <v>33.03936427653268</v>
      </c>
      <c r="N49" s="38">
        <v>12.302533675785336</v>
      </c>
      <c r="O49" s="1"/>
      <c r="P49" s="1"/>
      <c r="Q49" s="1"/>
      <c r="R49" s="1"/>
      <c r="S49" s="1"/>
      <c r="T49" s="1"/>
      <c r="U49" s="1"/>
      <c r="V49" s="1"/>
    </row>
    <row r="50" spans="1:22" ht="17.25">
      <c r="A50" s="54">
        <v>1922</v>
      </c>
      <c r="B50" s="69">
        <v>0.9407026512287274</v>
      </c>
      <c r="C50" s="69">
        <v>0.594527992293769</v>
      </c>
      <c r="D50" s="55"/>
      <c r="E50" s="67"/>
      <c r="F50" s="68"/>
      <c r="G50" s="68"/>
      <c r="H50" s="68"/>
      <c r="I50" s="20"/>
      <c r="J50" s="20"/>
      <c r="K50" s="37">
        <v>1952</v>
      </c>
      <c r="L50" s="28">
        <v>74.20060908311832</v>
      </c>
      <c r="M50" s="28">
        <v>32.31993618568745</v>
      </c>
      <c r="N50" s="38">
        <v>11.446321482537634</v>
      </c>
      <c r="O50" s="1"/>
      <c r="P50" s="1"/>
      <c r="Q50" s="1"/>
      <c r="R50" s="1"/>
      <c r="S50" s="1"/>
      <c r="T50" s="1"/>
      <c r="U50" s="1"/>
      <c r="V50" s="1"/>
    </row>
    <row r="51" spans="1:22" ht="17.25">
      <c r="A51" s="71">
        <v>1927</v>
      </c>
      <c r="B51" s="69">
        <v>0.9395888070181435</v>
      </c>
      <c r="C51" s="69">
        <v>0.5825856266154588</v>
      </c>
      <c r="D51" s="55"/>
      <c r="E51" s="67"/>
      <c r="F51" s="68"/>
      <c r="G51" s="68"/>
      <c r="H51" s="68"/>
      <c r="I51" s="20"/>
      <c r="J51" s="20"/>
      <c r="K51" s="37">
        <v>1953</v>
      </c>
      <c r="L51" s="28">
        <v>75.84451287033897</v>
      </c>
      <c r="M51" s="28">
        <v>32.557986119496356</v>
      </c>
      <c r="N51" s="38">
        <v>11.32933302920669</v>
      </c>
      <c r="O51" s="1"/>
      <c r="P51" s="1"/>
      <c r="Q51" s="1"/>
      <c r="R51" s="1"/>
      <c r="S51" s="1"/>
      <c r="T51" s="1"/>
      <c r="U51" s="1"/>
      <c r="V51" s="1"/>
    </row>
    <row r="52" spans="1:22" ht="17.25">
      <c r="A52" s="54">
        <v>1932</v>
      </c>
      <c r="B52" s="69">
        <v>0.9156651286602578</v>
      </c>
      <c r="C52" s="69">
        <v>0.5599492736948408</v>
      </c>
      <c r="D52" s="55"/>
      <c r="E52" s="67"/>
      <c r="F52" s="68"/>
      <c r="G52" s="68"/>
      <c r="H52" s="68"/>
      <c r="I52" s="20"/>
      <c r="J52" s="20"/>
      <c r="K52" s="37">
        <v>1954</v>
      </c>
      <c r="L52" s="28">
        <v>72.98932421942305</v>
      </c>
      <c r="M52" s="28">
        <v>30.52401831932173</v>
      </c>
      <c r="N52" s="38">
        <v>10.979461784516088</v>
      </c>
      <c r="O52" s="1"/>
      <c r="P52" s="1"/>
      <c r="Q52" s="1"/>
      <c r="R52" s="1"/>
      <c r="S52" s="1"/>
      <c r="T52" s="1"/>
      <c r="U52" s="1"/>
      <c r="V52" s="1"/>
    </row>
    <row r="53" spans="1:22" ht="17.25">
      <c r="A53" s="54">
        <v>1937</v>
      </c>
      <c r="B53" s="69">
        <v>0.8993891439328544</v>
      </c>
      <c r="C53" s="69">
        <v>0.5138390854903563</v>
      </c>
      <c r="D53" s="55"/>
      <c r="E53" s="67"/>
      <c r="F53" s="68"/>
      <c r="G53" s="68"/>
      <c r="H53" s="68"/>
      <c r="I53" s="20"/>
      <c r="J53" s="20"/>
      <c r="K53" s="37">
        <v>1955</v>
      </c>
      <c r="L53" s="28">
        <v>73.16324808189034</v>
      </c>
      <c r="M53" s="28">
        <v>31.479959473480232</v>
      </c>
      <c r="N53" s="38">
        <v>11.03887083258948</v>
      </c>
      <c r="O53" s="1"/>
      <c r="P53" s="1"/>
      <c r="Q53" s="1"/>
      <c r="R53" s="1"/>
      <c r="S53" s="1"/>
      <c r="T53" s="1"/>
      <c r="U53" s="1"/>
      <c r="V53" s="1"/>
    </row>
    <row r="54" spans="1:22" ht="1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37">
        <v>1956</v>
      </c>
      <c r="L54" s="28">
        <v>69.43519339786458</v>
      </c>
      <c r="M54" s="28">
        <v>30.376371165948942</v>
      </c>
      <c r="N54" s="38">
        <v>10.989581935807843</v>
      </c>
      <c r="O54" s="1"/>
      <c r="P54" s="1"/>
      <c r="Q54" s="1"/>
      <c r="R54" s="1"/>
      <c r="S54" s="1"/>
      <c r="T54" s="1"/>
      <c r="U54" s="1"/>
      <c r="V54" s="1"/>
    </row>
    <row r="55" spans="1:22" ht="15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37">
        <v>1957</v>
      </c>
      <c r="L55" s="28">
        <v>70.00382488113208</v>
      </c>
      <c r="M55" s="28">
        <v>32.27185397232999</v>
      </c>
      <c r="N55" s="38">
        <v>11.763724609931007</v>
      </c>
      <c r="O55" s="1"/>
      <c r="P55" s="1"/>
      <c r="Q55" s="1"/>
      <c r="R55" s="1"/>
      <c r="S55" s="1"/>
      <c r="T55" s="1"/>
      <c r="U55" s="1"/>
      <c r="V55" s="1"/>
    </row>
    <row r="56" spans="1:22" ht="15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37">
        <v>1958</v>
      </c>
      <c r="L56" s="28">
        <v>68.1448282368005</v>
      </c>
      <c r="M56" s="28">
        <v>30.06736093607463</v>
      </c>
      <c r="N56" s="38">
        <v>10.197713468610303</v>
      </c>
      <c r="O56" s="1"/>
      <c r="P56" s="1"/>
      <c r="Q56" s="1"/>
      <c r="R56" s="1"/>
      <c r="S56" s="1"/>
      <c r="T56" s="1"/>
      <c r="U56" s="1"/>
      <c r="V56" s="1"/>
    </row>
    <row r="57" spans="1:22" ht="15">
      <c r="A57" s="56" t="s">
        <v>36</v>
      </c>
      <c r="B57" s="20"/>
      <c r="C57" s="20"/>
      <c r="D57" s="20"/>
      <c r="E57" s="20"/>
      <c r="F57" s="20"/>
      <c r="G57" s="20"/>
      <c r="H57" s="20"/>
      <c r="I57" s="20"/>
      <c r="J57" s="20"/>
      <c r="K57" s="37">
        <v>1959</v>
      </c>
      <c r="L57" s="28">
        <v>70.26592080970973</v>
      </c>
      <c r="M57" s="28">
        <v>31.883173316744095</v>
      </c>
      <c r="N57" s="38">
        <v>12.09392174948573</v>
      </c>
      <c r="O57" s="1"/>
      <c r="P57" s="1"/>
      <c r="Q57" s="1"/>
      <c r="R57" s="1"/>
      <c r="S57" s="1"/>
      <c r="T57" s="1"/>
      <c r="U57" s="1"/>
      <c r="V57" s="1"/>
    </row>
    <row r="58" spans="1:22" ht="15">
      <c r="A58" s="21"/>
      <c r="B58" s="20"/>
      <c r="C58" s="20"/>
      <c r="D58" s="20"/>
      <c r="E58" s="20"/>
      <c r="F58" s="20"/>
      <c r="G58" s="20"/>
      <c r="H58" s="20"/>
      <c r="I58" s="20"/>
      <c r="J58" s="20"/>
      <c r="K58" s="37">
        <v>1960</v>
      </c>
      <c r="L58" s="28">
        <v>67.59606263283058</v>
      </c>
      <c r="M58" s="28">
        <v>29.46032533303183</v>
      </c>
      <c r="N58" s="38">
        <v>10.249894602852828</v>
      </c>
      <c r="O58" s="1"/>
      <c r="P58" s="1"/>
      <c r="Q58" s="1"/>
      <c r="R58" s="1"/>
      <c r="S58" s="1"/>
      <c r="T58" s="1"/>
      <c r="U58" s="1"/>
      <c r="V58" s="1"/>
    </row>
    <row r="59" spans="1:22" ht="15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37">
        <v>1962</v>
      </c>
      <c r="L59" s="28">
        <v>68.53990461946897</v>
      </c>
      <c r="M59" s="28">
        <v>30.333980219849373</v>
      </c>
      <c r="N59" s="38">
        <v>11.667445215856596</v>
      </c>
      <c r="O59" s="1"/>
      <c r="P59" s="1"/>
      <c r="Q59" s="1"/>
      <c r="R59" s="1"/>
      <c r="S59" s="1"/>
      <c r="T59" s="1"/>
      <c r="U59" s="1"/>
      <c r="V59" s="1"/>
    </row>
    <row r="60" spans="1:22" ht="15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37">
        <v>1964</v>
      </c>
      <c r="L60" s="28">
        <v>71.61440661979441</v>
      </c>
      <c r="M60" s="28">
        <v>31.33828771236561</v>
      </c>
      <c r="N60" s="38">
        <v>10.907963138644142</v>
      </c>
      <c r="O60" s="1"/>
      <c r="P60" s="1"/>
      <c r="Q60" s="1"/>
      <c r="R60" s="1"/>
      <c r="S60" s="1"/>
      <c r="T60" s="1"/>
      <c r="U60" s="1"/>
      <c r="V60" s="1"/>
    </row>
    <row r="61" spans="1:22" ht="15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37">
        <v>1984</v>
      </c>
      <c r="L61" s="28">
        <v>64.7856945000324</v>
      </c>
      <c r="M61" s="28">
        <v>21.58812103519335</v>
      </c>
      <c r="N61" s="38">
        <v>6.5943939351717935</v>
      </c>
      <c r="O61" s="1"/>
      <c r="P61" s="1"/>
      <c r="Q61" s="1"/>
      <c r="R61" s="1"/>
      <c r="S61" s="1"/>
      <c r="T61" s="1"/>
      <c r="U61" s="1"/>
      <c r="V61" s="1"/>
    </row>
    <row r="62" spans="1:22" ht="15" thickBo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9">
        <v>1994</v>
      </c>
      <c r="L62" s="51">
        <v>60.96215934026862</v>
      </c>
      <c r="M62" s="51">
        <v>21.2807190615721</v>
      </c>
      <c r="N62" s="60">
        <v>6.313141000896641</v>
      </c>
      <c r="O62" s="1"/>
      <c r="P62" s="1"/>
      <c r="Q62" s="1"/>
      <c r="R62" s="1"/>
      <c r="S62" s="1"/>
      <c r="T62" s="1"/>
      <c r="U62" s="1"/>
      <c r="V62" s="1"/>
    </row>
    <row r="63" spans="1:22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1:14" ht="15">
      <c r="K95" s="1"/>
      <c r="L95" s="1"/>
      <c r="M95" s="1"/>
      <c r="N95" s="1"/>
    </row>
    <row r="96" spans="11:14" ht="15">
      <c r="K96" s="1"/>
      <c r="L96" s="1"/>
      <c r="M96" s="1"/>
      <c r="N96" s="1"/>
    </row>
    <row r="97" spans="11:14" ht="15">
      <c r="K97" s="1"/>
      <c r="L97" s="1"/>
      <c r="M97" s="1"/>
      <c r="N97" s="1"/>
    </row>
    <row r="98" spans="11:14" ht="15">
      <c r="K98" s="1"/>
      <c r="L98" s="1"/>
      <c r="M98" s="1"/>
      <c r="N98" s="1"/>
    </row>
    <row r="99" spans="11:14" ht="15">
      <c r="K99" s="1"/>
      <c r="L99" s="1"/>
      <c r="M99" s="1"/>
      <c r="N99" s="1"/>
    </row>
    <row r="100" spans="11:14" ht="15">
      <c r="K100" s="1"/>
      <c r="L100" s="1"/>
      <c r="M100" s="1"/>
      <c r="N100" s="1"/>
    </row>
    <row r="101" spans="11:14" ht="15">
      <c r="K101" s="1"/>
      <c r="L101" s="1"/>
      <c r="M101" s="1"/>
      <c r="N101" s="1"/>
    </row>
    <row r="102" spans="11:14" ht="15">
      <c r="K102" s="1"/>
      <c r="L102" s="1"/>
      <c r="M102" s="1"/>
      <c r="N102" s="1"/>
    </row>
    <row r="103" spans="11:14" ht="15">
      <c r="K103" s="1"/>
      <c r="L103" s="1"/>
      <c r="M103" s="1"/>
      <c r="N103" s="1"/>
    </row>
  </sheetData>
  <sheetProtection/>
  <mergeCells count="7">
    <mergeCell ref="A45:D46"/>
    <mergeCell ref="A4:D4"/>
    <mergeCell ref="A3:N3"/>
    <mergeCell ref="A27:D27"/>
    <mergeCell ref="E27:J27"/>
    <mergeCell ref="K4:N4"/>
    <mergeCell ref="E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9" width="12.7109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4.5" customHeight="1" thickTop="1">
      <c r="A3" s="230" t="s">
        <v>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240" t="s">
        <v>40</v>
      </c>
      <c r="B4" s="241"/>
      <c r="C4" s="241"/>
      <c r="D4" s="241" t="s">
        <v>41</v>
      </c>
      <c r="E4" s="241"/>
      <c r="F4" s="241"/>
      <c r="G4" s="19"/>
      <c r="H4" s="19"/>
      <c r="I4" s="20" t="s">
        <v>42</v>
      </c>
      <c r="J4" s="20"/>
      <c r="K4" s="43"/>
      <c r="L4" s="1"/>
      <c r="M4" s="1"/>
      <c r="N4" s="1"/>
      <c r="O4" s="1"/>
      <c r="P4" s="1"/>
      <c r="Q4" s="1"/>
      <c r="R4" s="1"/>
      <c r="S4" s="1"/>
    </row>
    <row r="5" spans="1:19" ht="60" customHeight="1">
      <c r="A5" s="21"/>
      <c r="B5" s="22" t="s">
        <v>23</v>
      </c>
      <c r="C5" s="22" t="s">
        <v>24</v>
      </c>
      <c r="D5" s="20"/>
      <c r="E5" s="22" t="s">
        <v>23</v>
      </c>
      <c r="F5" s="22" t="s">
        <v>24</v>
      </c>
      <c r="G5" s="22" t="s">
        <v>43</v>
      </c>
      <c r="H5" s="22"/>
      <c r="I5" s="22" t="s">
        <v>22</v>
      </c>
      <c r="J5" s="22" t="s">
        <v>23</v>
      </c>
      <c r="K5" s="23" t="s">
        <v>24</v>
      </c>
      <c r="L5" s="1"/>
      <c r="M5" s="1"/>
      <c r="N5" s="1"/>
      <c r="O5" s="1"/>
      <c r="P5" s="1"/>
      <c r="Q5" s="1"/>
      <c r="R5" s="1"/>
      <c r="S5" s="1"/>
    </row>
    <row r="6" spans="1:19" ht="15">
      <c r="A6" s="54">
        <v>1916</v>
      </c>
      <c r="B6" s="61">
        <v>38.12385746607478</v>
      </c>
      <c r="C6" s="61">
        <v>21.032349350707747</v>
      </c>
      <c r="D6" s="20">
        <v>1910</v>
      </c>
      <c r="E6" s="28">
        <f>AVERAGE(B6:B9)</f>
        <v>37.6081261408823</v>
      </c>
      <c r="F6" s="28">
        <f>AVERAGE(C6:C9)</f>
        <v>20.687237217170583</v>
      </c>
      <c r="G6" s="41">
        <v>1.2</v>
      </c>
      <c r="H6" s="20">
        <v>1910</v>
      </c>
      <c r="I6" s="28">
        <f>36+J6</f>
        <v>81.12975136905877</v>
      </c>
      <c r="J6" s="28">
        <f>E6*G6</f>
        <v>45.12975136905876</v>
      </c>
      <c r="K6" s="38">
        <f aca="true" t="shared" si="0" ref="K6:K11">F6*G6</f>
        <v>24.8246846606047</v>
      </c>
      <c r="L6" s="1"/>
      <c r="M6" s="1"/>
      <c r="N6" s="1"/>
      <c r="O6" s="1"/>
      <c r="P6" s="1"/>
      <c r="Q6" s="1"/>
      <c r="R6" s="1"/>
      <c r="S6" s="1"/>
    </row>
    <row r="7" spans="1:19" ht="15">
      <c r="A7" s="54">
        <v>1917</v>
      </c>
      <c r="B7" s="61">
        <v>35.58257161557098</v>
      </c>
      <c r="C7" s="61">
        <v>19.30617677130195</v>
      </c>
      <c r="D7" s="20">
        <v>1920</v>
      </c>
      <c r="E7" s="28">
        <f>AVERAGE(B10:B20)</f>
        <v>36.43908467780769</v>
      </c>
      <c r="F7" s="28">
        <f>AVERAGE(C10:C20)</f>
        <v>19.089368158614516</v>
      </c>
      <c r="G7" s="41">
        <v>1.2</v>
      </c>
      <c r="H7" s="20">
        <v>1920</v>
      </c>
      <c r="I7" s="28">
        <f>36+J7</f>
        <v>79.72690161336922</v>
      </c>
      <c r="J7" s="28">
        <f>E7*G7</f>
        <v>43.72690161336923</v>
      </c>
      <c r="K7" s="38">
        <f t="shared" si="0"/>
        <v>22.90724179033742</v>
      </c>
      <c r="L7" s="1"/>
      <c r="M7" s="1"/>
      <c r="N7" s="1"/>
      <c r="O7" s="1"/>
      <c r="P7" s="1"/>
      <c r="Q7" s="1"/>
      <c r="R7" s="1"/>
      <c r="S7" s="1"/>
    </row>
    <row r="8" spans="1:19" ht="15">
      <c r="A8" s="54">
        <v>1918</v>
      </c>
      <c r="B8" s="61">
        <v>36.79697306366486</v>
      </c>
      <c r="C8" s="61">
        <v>20.01935012818723</v>
      </c>
      <c r="D8" s="20">
        <v>1930</v>
      </c>
      <c r="E8" s="28">
        <f>AVERAGE(B$21:B$34)</f>
        <v>29.92477073701058</v>
      </c>
      <c r="F8" s="28">
        <f>AVERAGE(C$21:C$34)</f>
        <v>16.067346932292892</v>
      </c>
      <c r="G8" s="41">
        <v>1.25</v>
      </c>
      <c r="H8" s="20">
        <v>1930</v>
      </c>
      <c r="I8" s="28">
        <f>36+J8</f>
        <v>73.40596342126322</v>
      </c>
      <c r="J8" s="28">
        <f>E8*G8</f>
        <v>37.40596342126322</v>
      </c>
      <c r="K8" s="38">
        <f t="shared" si="0"/>
        <v>20.084183665366115</v>
      </c>
      <c r="L8" s="1"/>
      <c r="M8" s="1"/>
      <c r="N8" s="1"/>
      <c r="O8" s="1"/>
      <c r="P8" s="1"/>
      <c r="Q8" s="1"/>
      <c r="R8" s="1"/>
      <c r="S8" s="1"/>
    </row>
    <row r="9" spans="1:19" ht="15">
      <c r="A9" s="54">
        <v>1919</v>
      </c>
      <c r="B9" s="61">
        <v>39.92910241821857</v>
      </c>
      <c r="C9" s="61">
        <v>22.391072618485406</v>
      </c>
      <c r="D9" s="20">
        <v>1940</v>
      </c>
      <c r="E9" s="28">
        <f>AVERAGE(B$35:B$44)</f>
        <v>24.3115891549656</v>
      </c>
      <c r="F9" s="28">
        <f>AVERAGE(C$35:C$44)</f>
        <v>10.801277952036179</v>
      </c>
      <c r="G9" s="41">
        <v>1.25</v>
      </c>
      <c r="H9" s="20">
        <v>1940</v>
      </c>
      <c r="I9" s="28">
        <f>36+J9</f>
        <v>66.389486443707</v>
      </c>
      <c r="J9" s="28">
        <f>E9*G9</f>
        <v>30.389486443707</v>
      </c>
      <c r="K9" s="38">
        <f t="shared" si="0"/>
        <v>13.501597440045224</v>
      </c>
      <c r="L9" s="1"/>
      <c r="M9" s="1"/>
      <c r="N9" s="1"/>
      <c r="O9" s="1"/>
      <c r="P9" s="1"/>
      <c r="Q9" s="1"/>
      <c r="R9" s="1"/>
      <c r="S9" s="1"/>
    </row>
    <row r="10" spans="1:19" ht="15">
      <c r="A10" s="54">
        <v>1920</v>
      </c>
      <c r="B10" s="61">
        <v>37.60525676466345</v>
      </c>
      <c r="C10" s="61">
        <v>20.35975724370869</v>
      </c>
      <c r="D10" s="20">
        <v>1950</v>
      </c>
      <c r="E10" s="28">
        <f>AVERAGE(B$45:B$49)</f>
        <v>23.732428189829328</v>
      </c>
      <c r="F10" s="28">
        <f>AVERAGE(C$45:C$49)</f>
        <v>9.821913432200024</v>
      </c>
      <c r="G10" s="41">
        <v>1.25</v>
      </c>
      <c r="H10" s="20">
        <v>1950</v>
      </c>
      <c r="I10" s="28">
        <f>36+J10</f>
        <v>65.66553523728666</v>
      </c>
      <c r="J10" s="28">
        <f>E10*G10</f>
        <v>29.66553523728666</v>
      </c>
      <c r="K10" s="38">
        <f t="shared" si="0"/>
        <v>12.277391790250029</v>
      </c>
      <c r="L10" s="1"/>
      <c r="M10" s="1"/>
      <c r="N10" s="1"/>
      <c r="O10" s="1"/>
      <c r="P10" s="1"/>
      <c r="Q10" s="1"/>
      <c r="R10" s="1"/>
      <c r="S10" s="1"/>
    </row>
    <row r="11" spans="1:19" ht="15">
      <c r="A11" s="54">
        <v>1921</v>
      </c>
      <c r="B11" s="61">
        <v>35.21958546432805</v>
      </c>
      <c r="C11" s="61">
        <v>17.538132687475763</v>
      </c>
      <c r="D11" s="20">
        <v>1960</v>
      </c>
      <c r="E11" s="28">
        <f>AVERAGE(B$50:B$53)</f>
        <v>24.300091687789706</v>
      </c>
      <c r="F11" s="28">
        <f>AVERAGE(C$50:C$53)</f>
        <v>10.400734867861333</v>
      </c>
      <c r="G11" s="41">
        <f>J11/E11</f>
        <v>1.2921761943712273</v>
      </c>
      <c r="H11" s="20">
        <v>1960</v>
      </c>
      <c r="I11" s="28">
        <f>33.6+J11+2</f>
        <v>67</v>
      </c>
      <c r="J11" s="28">
        <f>25.9+7.5-2</f>
        <v>31.4</v>
      </c>
      <c r="K11" s="38">
        <f t="shared" si="0"/>
        <v>13.439582000217188</v>
      </c>
      <c r="L11" s="1"/>
      <c r="M11" s="1"/>
      <c r="N11" s="1"/>
      <c r="O11" s="1"/>
      <c r="P11" s="1"/>
      <c r="Q11" s="1"/>
      <c r="R11" s="1"/>
      <c r="S11" s="1"/>
    </row>
    <row r="12" spans="1:19" ht="15">
      <c r="A12" s="54">
        <v>1922</v>
      </c>
      <c r="B12" s="61">
        <v>36.020428129399924</v>
      </c>
      <c r="C12" s="61">
        <v>17.554727402142213</v>
      </c>
      <c r="D12" s="20">
        <v>1970</v>
      </c>
      <c r="E12" s="28">
        <f>AVERAGE(B$54:B$55)</f>
        <v>21.22635397956075</v>
      </c>
      <c r="F12" s="28">
        <f>AVERAGE(C$54:C$55)</f>
        <v>8.67235834839913</v>
      </c>
      <c r="G12" s="28"/>
      <c r="H12" s="20">
        <v>1970</v>
      </c>
      <c r="I12" s="28">
        <f>36+J12</f>
        <v>64.18200113736071</v>
      </c>
      <c r="J12" s="28">
        <f>2+J11*(F$12/F$11)</f>
        <v>28.182001137360714</v>
      </c>
      <c r="K12" s="38">
        <f>(F12/E12)*J12</f>
        <v>11.514196600769285</v>
      </c>
      <c r="L12" s="1"/>
      <c r="M12" s="1"/>
      <c r="N12" s="1"/>
      <c r="O12" s="1"/>
      <c r="P12" s="1"/>
      <c r="Q12" s="1"/>
      <c r="R12" s="1"/>
      <c r="S12" s="1"/>
    </row>
    <row r="13" spans="1:19" ht="15">
      <c r="A13" s="54">
        <v>1923</v>
      </c>
      <c r="B13" s="61">
        <v>35.21836043792112</v>
      </c>
      <c r="C13" s="61">
        <v>17.79831901669536</v>
      </c>
      <c r="D13" s="20">
        <v>1980</v>
      </c>
      <c r="E13" s="28">
        <f>AVERAGE(B$56:B$63)</f>
        <v>21.414984671518106</v>
      </c>
      <c r="F13" s="28">
        <f>AVERAGE(C$56:C$63)</f>
        <v>8.827942260216933</v>
      </c>
      <c r="G13" s="28"/>
      <c r="H13" s="20">
        <v>1980</v>
      </c>
      <c r="I13" s="19">
        <f>37.1+J13</f>
        <v>67.2</v>
      </c>
      <c r="J13" s="19">
        <v>30.1</v>
      </c>
      <c r="K13" s="38">
        <f>(F13/E13)*J13</f>
        <v>12.408183620413151</v>
      </c>
      <c r="L13" s="1"/>
      <c r="M13" s="1"/>
      <c r="N13" s="1"/>
      <c r="O13" s="1"/>
      <c r="P13" s="1"/>
      <c r="Q13" s="1"/>
      <c r="R13" s="1"/>
      <c r="S13" s="1"/>
    </row>
    <row r="14" spans="1:19" ht="15">
      <c r="A14" s="54">
        <v>1924</v>
      </c>
      <c r="B14" s="61">
        <v>36.695348112975445</v>
      </c>
      <c r="C14" s="61">
        <v>18.995039106969276</v>
      </c>
      <c r="D14" s="20">
        <v>1990</v>
      </c>
      <c r="E14" s="28">
        <f>AVERAGE(B$64:B$73)</f>
        <v>21.407566945667785</v>
      </c>
      <c r="F14" s="28">
        <f>AVERAGE(C$64:C$73)</f>
        <v>9.043799723250796</v>
      </c>
      <c r="G14" s="28"/>
      <c r="H14" s="20">
        <v>1990</v>
      </c>
      <c r="I14" s="19">
        <f>(36.9+34.7)/2+J14</f>
        <v>68.69999999999999</v>
      </c>
      <c r="J14" s="19">
        <f>(30.2+34.6+33.9)/3</f>
        <v>32.9</v>
      </c>
      <c r="K14" s="38">
        <f>(F14/E14)*J14</f>
        <v>13.898870976328494</v>
      </c>
      <c r="L14" s="1"/>
      <c r="M14" s="1"/>
      <c r="N14" s="1"/>
      <c r="O14" s="1"/>
      <c r="P14" s="1"/>
      <c r="Q14" s="1"/>
      <c r="R14" s="1"/>
      <c r="S14" s="1"/>
    </row>
    <row r="15" spans="1:19" ht="15">
      <c r="A15" s="54">
        <v>1925</v>
      </c>
      <c r="B15" s="61">
        <v>36.01994298958545</v>
      </c>
      <c r="C15" s="61">
        <v>18.454118261476538</v>
      </c>
      <c r="D15" s="20">
        <v>2000</v>
      </c>
      <c r="E15" s="28">
        <f>AVERAGE(B$74:B$74)</f>
        <v>20.787237158986763</v>
      </c>
      <c r="F15" s="28">
        <f>AVERAGE(C$74:C$74)</f>
        <v>9.061987414867426</v>
      </c>
      <c r="G15" s="28"/>
      <c r="H15" s="20">
        <v>2000</v>
      </c>
      <c r="I15" s="28">
        <f>(37.1+36.1)/2+J15</f>
        <v>69.65</v>
      </c>
      <c r="J15" s="28">
        <f>(32.7+33.4)/2</f>
        <v>33.05</v>
      </c>
      <c r="K15" s="38">
        <f>(F15/E15)*J15</f>
        <v>14.407815804029964</v>
      </c>
      <c r="L15" s="1"/>
      <c r="M15" s="1"/>
      <c r="N15" s="1"/>
      <c r="O15" s="1"/>
      <c r="P15" s="1"/>
      <c r="Q15" s="1"/>
      <c r="R15" s="1"/>
      <c r="S15" s="1"/>
    </row>
    <row r="16" spans="1:19" ht="15">
      <c r="A16" s="54">
        <v>1926</v>
      </c>
      <c r="B16" s="61">
        <v>35.14713862281586</v>
      </c>
      <c r="C16" s="61">
        <v>18.40955628222701</v>
      </c>
      <c r="D16" s="20">
        <v>2010</v>
      </c>
      <c r="E16" s="20"/>
      <c r="F16" s="20"/>
      <c r="G16" s="20"/>
      <c r="H16" s="20">
        <v>2010</v>
      </c>
      <c r="I16" s="19">
        <f>37.7+J16</f>
        <v>71.5</v>
      </c>
      <c r="J16" s="19">
        <v>33.8</v>
      </c>
      <c r="K16" s="38">
        <f>(F15/E15)*J16</f>
        <v>14.734770776889949</v>
      </c>
      <c r="L16" s="1"/>
      <c r="M16" s="1"/>
      <c r="N16" s="1"/>
      <c r="O16" s="1"/>
      <c r="P16" s="1"/>
      <c r="Q16" s="1"/>
      <c r="R16" s="1"/>
      <c r="S16" s="1"/>
    </row>
    <row r="17" spans="1:19" ht="15">
      <c r="A17" s="54">
        <v>1927</v>
      </c>
      <c r="B17" s="61">
        <v>39.20609971482385</v>
      </c>
      <c r="C17" s="61">
        <v>21.276796168152778</v>
      </c>
      <c r="D17" s="20"/>
      <c r="E17" s="20"/>
      <c r="F17" s="20"/>
      <c r="G17" s="20"/>
      <c r="H17" s="20"/>
      <c r="I17" s="20" t="s">
        <v>44</v>
      </c>
      <c r="J17" s="20"/>
      <c r="K17" s="43"/>
      <c r="L17" s="1"/>
      <c r="M17" s="1"/>
      <c r="N17" s="1"/>
      <c r="O17" s="1"/>
      <c r="P17" s="1"/>
      <c r="Q17" s="1"/>
      <c r="R17" s="1"/>
      <c r="S17" s="1"/>
    </row>
    <row r="18" spans="1:19" ht="15">
      <c r="A18" s="54"/>
      <c r="B18" s="61"/>
      <c r="C18" s="61"/>
      <c r="D18" s="20"/>
      <c r="E18" s="20"/>
      <c r="F18" s="20"/>
      <c r="G18" s="20"/>
      <c r="H18" s="20"/>
      <c r="I18" s="20" t="s">
        <v>45</v>
      </c>
      <c r="J18" s="20"/>
      <c r="K18" s="43"/>
      <c r="L18" s="1"/>
      <c r="M18" s="1"/>
      <c r="N18" s="1"/>
      <c r="O18" s="1"/>
      <c r="P18" s="1"/>
      <c r="Q18" s="1"/>
      <c r="R18" s="1"/>
      <c r="S18" s="1"/>
    </row>
    <row r="19" spans="1:19" ht="15">
      <c r="A19" s="54">
        <v>1928</v>
      </c>
      <c r="B19" s="61">
        <v>36.49708603301221</v>
      </c>
      <c r="C19" s="61">
        <v>19.703247120687042</v>
      </c>
      <c r="D19" s="20"/>
      <c r="E19" s="20"/>
      <c r="F19" s="20"/>
      <c r="G19" s="20"/>
      <c r="H19" s="20"/>
      <c r="I19" s="20" t="s">
        <v>46</v>
      </c>
      <c r="J19" s="20"/>
      <c r="K19" s="43"/>
      <c r="L19" s="1"/>
      <c r="M19" s="1"/>
      <c r="N19" s="1"/>
      <c r="O19" s="1"/>
      <c r="P19" s="1"/>
      <c r="Q19" s="1"/>
      <c r="R19" s="1"/>
      <c r="S19" s="1"/>
    </row>
    <row r="20" spans="1:19" ht="15">
      <c r="A20" s="54">
        <v>1929</v>
      </c>
      <c r="B20" s="61">
        <v>36.761600508551645</v>
      </c>
      <c r="C20" s="61">
        <v>20.803988296610505</v>
      </c>
      <c r="D20" s="20"/>
      <c r="E20" s="20"/>
      <c r="F20" s="20"/>
      <c r="G20" s="20"/>
      <c r="H20" s="20"/>
      <c r="I20" s="20" t="s">
        <v>47</v>
      </c>
      <c r="J20" s="20"/>
      <c r="K20" s="43"/>
      <c r="L20" s="1"/>
      <c r="M20" s="1"/>
      <c r="N20" s="1"/>
      <c r="O20" s="1"/>
      <c r="P20" s="1"/>
      <c r="Q20" s="1"/>
      <c r="R20" s="1"/>
      <c r="S20" s="1"/>
    </row>
    <row r="21" spans="1:19" ht="15">
      <c r="A21" s="54">
        <v>1930</v>
      </c>
      <c r="B21" s="61">
        <v>40.29236184190606</v>
      </c>
      <c r="C21" s="61">
        <v>22.85496952826948</v>
      </c>
      <c r="D21" s="20"/>
      <c r="E21" s="20"/>
      <c r="F21" s="20"/>
      <c r="G21" s="20"/>
      <c r="H21" s="20"/>
      <c r="I21" s="20" t="s">
        <v>48</v>
      </c>
      <c r="J21" s="20"/>
      <c r="K21" s="43"/>
      <c r="L21" s="1"/>
      <c r="M21" s="1"/>
      <c r="N21" s="1"/>
      <c r="O21" s="1"/>
      <c r="P21" s="1"/>
      <c r="Q21" s="1"/>
      <c r="R21" s="1"/>
      <c r="S21" s="1"/>
    </row>
    <row r="22" spans="1:19" ht="15">
      <c r="A22" s="54">
        <v>1931</v>
      </c>
      <c r="B22" s="61">
        <v>34.703806951647</v>
      </c>
      <c r="C22" s="61">
        <v>18.772936559326777</v>
      </c>
      <c r="D22" s="20"/>
      <c r="E22" s="20"/>
      <c r="F22" s="20"/>
      <c r="G22" s="20"/>
      <c r="H22" s="20"/>
      <c r="I22" s="20"/>
      <c r="J22" s="20"/>
      <c r="K22" s="43"/>
      <c r="L22" s="1"/>
      <c r="M22" s="1"/>
      <c r="N22" s="1"/>
      <c r="O22" s="1"/>
      <c r="P22" s="1"/>
      <c r="Q22" s="1"/>
      <c r="R22" s="1"/>
      <c r="S22" s="1"/>
    </row>
    <row r="23" spans="1:19" ht="15">
      <c r="A23" s="54">
        <v>1932</v>
      </c>
      <c r="B23" s="61">
        <v>28.398384570196605</v>
      </c>
      <c r="C23" s="61">
        <v>14.682046954465383</v>
      </c>
      <c r="D23" s="20"/>
      <c r="E23" s="20"/>
      <c r="F23" s="20"/>
      <c r="G23" s="20"/>
      <c r="H23" s="20"/>
      <c r="I23" s="20"/>
      <c r="J23" s="20"/>
      <c r="K23" s="43"/>
      <c r="L23" s="1"/>
      <c r="M23" s="1"/>
      <c r="N23" s="1"/>
      <c r="O23" s="1"/>
      <c r="P23" s="1"/>
      <c r="Q23" s="1"/>
      <c r="R23" s="1"/>
      <c r="S23" s="1"/>
    </row>
    <row r="24" spans="1:19" ht="15">
      <c r="A24" s="54">
        <v>1933</v>
      </c>
      <c r="B24" s="61">
        <v>30.307277779173187</v>
      </c>
      <c r="C24" s="61">
        <v>16.276816486333747</v>
      </c>
      <c r="D24" s="20"/>
      <c r="E24" s="20"/>
      <c r="F24" s="20"/>
      <c r="G24" s="20"/>
      <c r="H24" s="20"/>
      <c r="I24" s="20"/>
      <c r="J24" s="20"/>
      <c r="K24" s="43"/>
      <c r="L24" s="1"/>
      <c r="M24" s="1"/>
      <c r="N24" s="1"/>
      <c r="O24" s="1"/>
      <c r="P24" s="1"/>
      <c r="Q24" s="1"/>
      <c r="R24" s="1"/>
      <c r="S24" s="1"/>
    </row>
    <row r="25" spans="1:19" ht="15">
      <c r="A25" s="54">
        <v>1934</v>
      </c>
      <c r="B25" s="61">
        <v>28.08641736053032</v>
      </c>
      <c r="C25" s="61">
        <v>14.938467130710366</v>
      </c>
      <c r="D25" s="20"/>
      <c r="E25" s="20"/>
      <c r="F25" s="20"/>
      <c r="G25" s="20"/>
      <c r="H25" s="20"/>
      <c r="I25" s="20"/>
      <c r="J25" s="20"/>
      <c r="K25" s="43"/>
      <c r="L25" s="1"/>
      <c r="M25" s="1"/>
      <c r="N25" s="1"/>
      <c r="O25" s="1"/>
      <c r="P25" s="1"/>
      <c r="Q25" s="1"/>
      <c r="R25" s="1"/>
      <c r="S25" s="1"/>
    </row>
    <row r="26" spans="1:19" ht="15">
      <c r="A26" s="54">
        <v>1935</v>
      </c>
      <c r="B26" s="61">
        <v>27.774183395198484</v>
      </c>
      <c r="C26" s="61">
        <v>14.980726930283696</v>
      </c>
      <c r="D26" s="20"/>
      <c r="E26" s="20"/>
      <c r="F26" s="20"/>
      <c r="G26" s="20"/>
      <c r="H26" s="20"/>
      <c r="I26" s="20"/>
      <c r="J26" s="20"/>
      <c r="K26" s="43"/>
      <c r="L26" s="1"/>
      <c r="M26" s="1"/>
      <c r="N26" s="1"/>
      <c r="O26" s="1"/>
      <c r="P26" s="1"/>
      <c r="Q26" s="1"/>
      <c r="R26" s="1"/>
      <c r="S26" s="1"/>
    </row>
    <row r="27" spans="1:19" ht="15">
      <c r="A27" s="54">
        <v>1936</v>
      </c>
      <c r="B27" s="61">
        <v>29.701659342295688</v>
      </c>
      <c r="C27" s="61">
        <v>16.633205294283655</v>
      </c>
      <c r="D27" s="20"/>
      <c r="E27" s="20"/>
      <c r="F27" s="20"/>
      <c r="G27" s="20"/>
      <c r="H27" s="20"/>
      <c r="I27" s="20"/>
      <c r="J27" s="20"/>
      <c r="K27" s="43"/>
      <c r="L27" s="1"/>
      <c r="M27" s="1"/>
      <c r="N27" s="1"/>
      <c r="O27" s="1"/>
      <c r="P27" s="1"/>
      <c r="Q27" s="1"/>
      <c r="R27" s="1"/>
      <c r="S27" s="1"/>
    </row>
    <row r="28" spans="1:19" ht="15">
      <c r="A28" s="54">
        <v>1937</v>
      </c>
      <c r="B28" s="61">
        <v>26.96785690776784</v>
      </c>
      <c r="C28" s="61">
        <v>14.218218987945734</v>
      </c>
      <c r="D28" s="20"/>
      <c r="E28" s="20"/>
      <c r="F28" s="20"/>
      <c r="G28" s="20"/>
      <c r="H28" s="20"/>
      <c r="I28" s="20"/>
      <c r="J28" s="20"/>
      <c r="K28" s="43"/>
      <c r="L28" s="1"/>
      <c r="M28" s="1"/>
      <c r="N28" s="1"/>
      <c r="O28" s="1"/>
      <c r="P28" s="1"/>
      <c r="Q28" s="1"/>
      <c r="R28" s="1"/>
      <c r="S28" s="1"/>
    </row>
    <row r="29" spans="1:19" ht="15">
      <c r="A29" s="54"/>
      <c r="B29" s="61"/>
      <c r="C29" s="61"/>
      <c r="D29" s="20"/>
      <c r="E29" s="20"/>
      <c r="F29" s="20"/>
      <c r="G29" s="20"/>
      <c r="H29" s="20"/>
      <c r="I29" s="20"/>
      <c r="J29" s="20"/>
      <c r="K29" s="43"/>
      <c r="L29" s="1"/>
      <c r="M29" s="1"/>
      <c r="N29" s="1"/>
      <c r="O29" s="1"/>
      <c r="P29" s="1"/>
      <c r="Q29" s="1"/>
      <c r="R29" s="1"/>
      <c r="S29" s="1"/>
    </row>
    <row r="30" spans="1:19" ht="15">
      <c r="A30" s="54"/>
      <c r="B30" s="61"/>
      <c r="C30" s="61"/>
      <c r="D30" s="20"/>
      <c r="E30" s="20"/>
      <c r="F30" s="20"/>
      <c r="G30" s="20"/>
      <c r="H30" s="20"/>
      <c r="I30" s="20"/>
      <c r="J30" s="20"/>
      <c r="K30" s="43"/>
      <c r="L30" s="1"/>
      <c r="M30" s="1"/>
      <c r="N30" s="1"/>
      <c r="O30" s="1"/>
      <c r="P30" s="1"/>
      <c r="Q30" s="1"/>
      <c r="R30" s="1"/>
      <c r="S30" s="1"/>
    </row>
    <row r="31" spans="1:19" ht="15">
      <c r="A31" s="54"/>
      <c r="B31" s="61"/>
      <c r="C31" s="61"/>
      <c r="D31" s="20"/>
      <c r="E31" s="20"/>
      <c r="F31" s="20"/>
      <c r="G31" s="20"/>
      <c r="H31" s="20"/>
      <c r="I31" s="20"/>
      <c r="J31" s="20"/>
      <c r="K31" s="43"/>
      <c r="L31" s="1"/>
      <c r="M31" s="1"/>
      <c r="N31" s="1"/>
      <c r="O31" s="1"/>
      <c r="P31" s="1"/>
      <c r="Q31" s="1"/>
      <c r="R31" s="1"/>
      <c r="S31" s="1"/>
    </row>
    <row r="32" spans="1:19" ht="15">
      <c r="A32" s="54">
        <v>1938</v>
      </c>
      <c r="B32" s="61">
        <v>27.064952278852502</v>
      </c>
      <c r="C32" s="61">
        <v>14.132549295409964</v>
      </c>
      <c r="D32" s="20"/>
      <c r="E32" s="20"/>
      <c r="F32" s="20"/>
      <c r="G32" s="20"/>
      <c r="H32" s="20"/>
      <c r="I32" s="20"/>
      <c r="J32" s="20"/>
      <c r="K32" s="43"/>
      <c r="L32" s="1"/>
      <c r="M32" s="1"/>
      <c r="N32" s="1"/>
      <c r="O32" s="1"/>
      <c r="P32" s="1"/>
      <c r="Q32" s="1"/>
      <c r="R32" s="1"/>
      <c r="S32" s="1"/>
    </row>
    <row r="33" spans="1:19" ht="15">
      <c r="A33" s="54"/>
      <c r="B33" s="61"/>
      <c r="C33" s="61"/>
      <c r="D33" s="20"/>
      <c r="E33" s="20"/>
      <c r="F33" s="20"/>
      <c r="G33" s="20"/>
      <c r="H33" s="20"/>
      <c r="I33" s="20"/>
      <c r="J33" s="20"/>
      <c r="K33" s="43"/>
      <c r="L33" s="1"/>
      <c r="M33" s="1"/>
      <c r="N33" s="1"/>
      <c r="O33" s="1"/>
      <c r="P33" s="1"/>
      <c r="Q33" s="1"/>
      <c r="R33" s="1"/>
      <c r="S33" s="1"/>
    </row>
    <row r="34" spans="1:19" ht="15">
      <c r="A34" s="54">
        <v>1939</v>
      </c>
      <c r="B34" s="61">
        <v>25.95080694253806</v>
      </c>
      <c r="C34" s="61">
        <v>13.183532155900108</v>
      </c>
      <c r="D34" s="20"/>
      <c r="E34" s="20"/>
      <c r="F34" s="20"/>
      <c r="G34" s="20"/>
      <c r="H34" s="20"/>
      <c r="I34" s="20"/>
      <c r="J34" s="20"/>
      <c r="K34" s="43"/>
      <c r="L34" s="1"/>
      <c r="M34" s="1"/>
      <c r="N34" s="1"/>
      <c r="O34" s="1"/>
      <c r="P34" s="1"/>
      <c r="Q34" s="1"/>
      <c r="R34" s="1"/>
      <c r="S34" s="1"/>
    </row>
    <row r="35" spans="1:19" ht="15">
      <c r="A35" s="54">
        <v>1940</v>
      </c>
      <c r="B35" s="61">
        <v>25.269242935318346</v>
      </c>
      <c r="C35" s="61">
        <v>12.42309018593872</v>
      </c>
      <c r="D35" s="20"/>
      <c r="E35" s="20"/>
      <c r="F35" s="20"/>
      <c r="G35" s="20"/>
      <c r="H35" s="20"/>
      <c r="I35" s="20"/>
      <c r="J35" s="20"/>
      <c r="K35" s="43"/>
      <c r="L35" s="1"/>
      <c r="M35" s="1"/>
      <c r="N35" s="1"/>
      <c r="O35" s="1"/>
      <c r="P35" s="1"/>
      <c r="Q35" s="1"/>
      <c r="R35" s="1"/>
      <c r="S35" s="1"/>
    </row>
    <row r="36" spans="1:19" ht="15">
      <c r="A36" s="54">
        <v>1941</v>
      </c>
      <c r="B36" s="61">
        <v>25.30486805449229</v>
      </c>
      <c r="C36" s="61">
        <v>12.347145713548077</v>
      </c>
      <c r="D36" s="20"/>
      <c r="E36" s="20"/>
      <c r="F36" s="20"/>
      <c r="G36" s="20"/>
      <c r="H36" s="20"/>
      <c r="I36" s="20"/>
      <c r="J36" s="20"/>
      <c r="K36" s="43"/>
      <c r="L36" s="1"/>
      <c r="M36" s="1"/>
      <c r="N36" s="1"/>
      <c r="O36" s="1"/>
      <c r="P36" s="1"/>
      <c r="Q36" s="1"/>
      <c r="R36" s="1"/>
      <c r="S36" s="1"/>
    </row>
    <row r="37" spans="1:19" ht="15">
      <c r="A37" s="54">
        <v>1942</v>
      </c>
      <c r="B37" s="61">
        <v>23.73933786160861</v>
      </c>
      <c r="C37" s="61">
        <v>11.312962745480268</v>
      </c>
      <c r="D37" s="20"/>
      <c r="E37" s="20"/>
      <c r="F37" s="20"/>
      <c r="G37" s="20"/>
      <c r="H37" s="20"/>
      <c r="I37" s="20"/>
      <c r="J37" s="20"/>
      <c r="K37" s="43"/>
      <c r="L37" s="1"/>
      <c r="M37" s="1"/>
      <c r="N37" s="1"/>
      <c r="O37" s="1"/>
      <c r="P37" s="1"/>
      <c r="Q37" s="1"/>
      <c r="R37" s="1"/>
      <c r="S37" s="1"/>
    </row>
    <row r="38" spans="1:19" ht="15">
      <c r="A38" s="54">
        <v>1943</v>
      </c>
      <c r="B38" s="61">
        <v>24.261150662292206</v>
      </c>
      <c r="C38" s="61">
        <v>10.962283491939397</v>
      </c>
      <c r="D38" s="20"/>
      <c r="E38" s="20"/>
      <c r="F38" s="20"/>
      <c r="G38" s="20"/>
      <c r="H38" s="20"/>
      <c r="I38" s="20"/>
      <c r="J38" s="20"/>
      <c r="K38" s="43"/>
      <c r="L38" s="1"/>
      <c r="M38" s="1"/>
      <c r="N38" s="1"/>
      <c r="O38" s="1"/>
      <c r="P38" s="1"/>
      <c r="Q38" s="1"/>
      <c r="R38" s="1"/>
      <c r="S38" s="1"/>
    </row>
    <row r="39" spans="1:19" ht="15">
      <c r="A39" s="54">
        <v>1944</v>
      </c>
      <c r="B39" s="61">
        <v>25.490494026835602</v>
      </c>
      <c r="C39" s="61">
        <v>11.397754172372794</v>
      </c>
      <c r="D39" s="20"/>
      <c r="E39" s="20"/>
      <c r="F39" s="20"/>
      <c r="G39" s="20"/>
      <c r="H39" s="20"/>
      <c r="I39" s="20"/>
      <c r="J39" s="20"/>
      <c r="K39" s="43"/>
      <c r="L39" s="1"/>
      <c r="M39" s="1"/>
      <c r="N39" s="1"/>
      <c r="O39" s="1"/>
      <c r="P39" s="1"/>
      <c r="Q39" s="1"/>
      <c r="R39" s="1"/>
      <c r="S39" s="1"/>
    </row>
    <row r="40" spans="1:19" ht="15">
      <c r="A40" s="54">
        <v>1945</v>
      </c>
      <c r="B40" s="61">
        <v>24.651631972953012</v>
      </c>
      <c r="C40" s="61">
        <v>10.54041021601055</v>
      </c>
      <c r="D40" s="20"/>
      <c r="E40" s="20"/>
      <c r="F40" s="20"/>
      <c r="G40" s="20"/>
      <c r="H40" s="20"/>
      <c r="I40" s="20"/>
      <c r="J40" s="20"/>
      <c r="K40" s="43"/>
      <c r="L40" s="1"/>
      <c r="M40" s="1"/>
      <c r="N40" s="1"/>
      <c r="O40" s="1"/>
      <c r="P40" s="1"/>
      <c r="Q40" s="1"/>
      <c r="R40" s="1"/>
      <c r="S40" s="1"/>
    </row>
    <row r="41" spans="1:19" ht="15">
      <c r="A41" s="62">
        <v>1946</v>
      </c>
      <c r="B41" s="61">
        <v>24.49132477921762</v>
      </c>
      <c r="C41" s="61">
        <v>10.280996648076927</v>
      </c>
      <c r="D41" s="20"/>
      <c r="E41" s="20"/>
      <c r="F41" s="20"/>
      <c r="G41" s="20"/>
      <c r="H41" s="20"/>
      <c r="I41" s="20"/>
      <c r="J41" s="20"/>
      <c r="K41" s="43"/>
      <c r="L41" s="1"/>
      <c r="M41" s="1"/>
      <c r="N41" s="1"/>
      <c r="O41" s="1"/>
      <c r="P41" s="1"/>
      <c r="Q41" s="1"/>
      <c r="R41" s="1"/>
      <c r="S41" s="1"/>
    </row>
    <row r="42" spans="1:19" ht="15">
      <c r="A42" s="62">
        <v>1947</v>
      </c>
      <c r="B42" s="61">
        <v>24.276518331738128</v>
      </c>
      <c r="C42" s="61">
        <v>10.260959282959071</v>
      </c>
      <c r="D42" s="20"/>
      <c r="E42" s="20"/>
      <c r="F42" s="20"/>
      <c r="G42" s="20"/>
      <c r="H42" s="20"/>
      <c r="I42" s="20"/>
      <c r="J42" s="20"/>
      <c r="K42" s="43"/>
      <c r="L42" s="1"/>
      <c r="M42" s="1"/>
      <c r="N42" s="1"/>
      <c r="O42" s="1"/>
      <c r="P42" s="1"/>
      <c r="Q42" s="1"/>
      <c r="R42" s="1"/>
      <c r="S42" s="1"/>
    </row>
    <row r="43" spans="1:19" ht="15">
      <c r="A43" s="62">
        <v>1948</v>
      </c>
      <c r="B43" s="61">
        <v>23.042023368195114</v>
      </c>
      <c r="C43" s="61">
        <v>9.452655187147025</v>
      </c>
      <c r="D43" s="20"/>
      <c r="E43" s="20"/>
      <c r="F43" s="20"/>
      <c r="G43" s="20"/>
      <c r="H43" s="20"/>
      <c r="I43" s="20"/>
      <c r="J43" s="20"/>
      <c r="K43" s="43"/>
      <c r="L43" s="1"/>
      <c r="M43" s="1"/>
      <c r="N43" s="1"/>
      <c r="O43" s="1"/>
      <c r="P43" s="1"/>
      <c r="Q43" s="1"/>
      <c r="R43" s="1"/>
      <c r="S43" s="1"/>
    </row>
    <row r="44" spans="1:19" ht="15">
      <c r="A44" s="62">
        <v>1949</v>
      </c>
      <c r="B44" s="61">
        <v>22.58929955700505</v>
      </c>
      <c r="C44" s="61">
        <v>9.034521876888965</v>
      </c>
      <c r="D44" s="20"/>
      <c r="E44" s="20"/>
      <c r="F44" s="20"/>
      <c r="G44" s="20"/>
      <c r="H44" s="20"/>
      <c r="I44" s="20"/>
      <c r="J44" s="20"/>
      <c r="K44" s="43"/>
      <c r="L44" s="1"/>
      <c r="M44" s="1"/>
      <c r="N44" s="1"/>
      <c r="O44" s="1"/>
      <c r="P44" s="1"/>
      <c r="Q44" s="1"/>
      <c r="R44" s="1"/>
      <c r="S44" s="1"/>
    </row>
    <row r="45" spans="1:19" ht="15">
      <c r="A45" s="62">
        <v>1950</v>
      </c>
      <c r="B45" s="61">
        <v>22.77556463835611</v>
      </c>
      <c r="C45" s="61">
        <v>9.23969663680828</v>
      </c>
      <c r="D45" s="20"/>
      <c r="E45" s="20"/>
      <c r="F45" s="20"/>
      <c r="G45" s="20"/>
      <c r="H45" s="20"/>
      <c r="I45" s="20"/>
      <c r="J45" s="20"/>
      <c r="K45" s="43"/>
      <c r="L45" s="1"/>
      <c r="M45" s="1"/>
      <c r="N45" s="1"/>
      <c r="O45" s="1"/>
      <c r="P45" s="1"/>
      <c r="Q45" s="1"/>
      <c r="R45" s="1"/>
      <c r="S45" s="1"/>
    </row>
    <row r="46" spans="1:19" ht="15">
      <c r="A46" s="62">
        <v>1953</v>
      </c>
      <c r="B46" s="61">
        <v>23.774174938353482</v>
      </c>
      <c r="C46" s="61">
        <v>9.729540875526162</v>
      </c>
      <c r="D46" s="20"/>
      <c r="E46" s="20"/>
      <c r="F46" s="20"/>
      <c r="G46" s="20"/>
      <c r="H46" s="20"/>
      <c r="I46" s="20"/>
      <c r="J46" s="20"/>
      <c r="K46" s="43"/>
      <c r="L46" s="1"/>
      <c r="M46" s="1"/>
      <c r="N46" s="1"/>
      <c r="O46" s="1"/>
      <c r="P46" s="1"/>
      <c r="Q46" s="1"/>
      <c r="R46" s="1"/>
      <c r="S46" s="1"/>
    </row>
    <row r="47" spans="1:19" ht="15">
      <c r="A47" s="62">
        <v>1954</v>
      </c>
      <c r="B47" s="61">
        <v>23.184982971337263</v>
      </c>
      <c r="C47" s="61">
        <v>9.597440456571803</v>
      </c>
      <c r="D47" s="20"/>
      <c r="E47" s="20"/>
      <c r="F47" s="20"/>
      <c r="G47" s="20"/>
      <c r="H47" s="20"/>
      <c r="I47" s="20"/>
      <c r="J47" s="20"/>
      <c r="K47" s="43"/>
      <c r="L47" s="1"/>
      <c r="M47" s="1"/>
      <c r="N47" s="1"/>
      <c r="O47" s="1"/>
      <c r="P47" s="1"/>
      <c r="Q47" s="1"/>
      <c r="R47" s="1"/>
      <c r="S47" s="1"/>
    </row>
    <row r="48" spans="1:19" ht="15">
      <c r="A48" s="62">
        <v>1956</v>
      </c>
      <c r="B48" s="61">
        <v>24.746548778186614</v>
      </c>
      <c r="C48" s="61">
        <v>10.481505985971811</v>
      </c>
      <c r="D48" s="20"/>
      <c r="E48" s="20"/>
      <c r="F48" s="20"/>
      <c r="G48" s="20"/>
      <c r="H48" s="20"/>
      <c r="I48" s="20"/>
      <c r="J48" s="20"/>
      <c r="K48" s="43"/>
      <c r="L48" s="1"/>
      <c r="M48" s="1"/>
      <c r="N48" s="1"/>
      <c r="O48" s="1"/>
      <c r="P48" s="1"/>
      <c r="Q48" s="1"/>
      <c r="R48" s="1"/>
      <c r="S48" s="1"/>
    </row>
    <row r="49" spans="1:19" ht="15">
      <c r="A49" s="62">
        <v>1958</v>
      </c>
      <c r="B49" s="61">
        <v>24.18086962291317</v>
      </c>
      <c r="C49" s="61">
        <v>10.061383206122056</v>
      </c>
      <c r="D49" s="20"/>
      <c r="E49" s="20"/>
      <c r="F49" s="20"/>
      <c r="G49" s="20"/>
      <c r="H49" s="20"/>
      <c r="I49" s="20"/>
      <c r="J49" s="20"/>
      <c r="K49" s="43"/>
      <c r="L49" s="1"/>
      <c r="M49" s="1"/>
      <c r="N49" s="1"/>
      <c r="O49" s="1"/>
      <c r="P49" s="1"/>
      <c r="Q49" s="1"/>
      <c r="R49" s="1"/>
      <c r="S49" s="1"/>
    </row>
    <row r="50" spans="1:19" ht="15">
      <c r="A50" s="62">
        <v>1960</v>
      </c>
      <c r="B50" s="61">
        <v>25.248441029356137</v>
      </c>
      <c r="C50" s="61">
        <v>10.528605503623409</v>
      </c>
      <c r="D50" s="20"/>
      <c r="E50" s="20"/>
      <c r="F50" s="20"/>
      <c r="G50" s="20"/>
      <c r="H50" s="20"/>
      <c r="I50" s="20"/>
      <c r="J50" s="20"/>
      <c r="K50" s="43"/>
      <c r="L50" s="1"/>
      <c r="M50" s="1"/>
      <c r="N50" s="1"/>
      <c r="O50" s="1"/>
      <c r="P50" s="1"/>
      <c r="Q50" s="1"/>
      <c r="R50" s="1"/>
      <c r="S50" s="1"/>
    </row>
    <row r="51" spans="1:19" ht="15">
      <c r="A51" s="62">
        <v>1962</v>
      </c>
      <c r="B51" s="61">
        <v>24.392355559411122</v>
      </c>
      <c r="C51" s="61">
        <v>10.357642744109672</v>
      </c>
      <c r="D51" s="20"/>
      <c r="E51" s="20"/>
      <c r="F51" s="20"/>
      <c r="G51" s="20"/>
      <c r="H51" s="20"/>
      <c r="I51" s="20"/>
      <c r="J51" s="20"/>
      <c r="K51" s="43"/>
      <c r="L51" s="1"/>
      <c r="M51" s="1"/>
      <c r="N51" s="1"/>
      <c r="O51" s="1"/>
      <c r="P51" s="1"/>
      <c r="Q51" s="1"/>
      <c r="R51" s="1"/>
      <c r="S51" s="1"/>
    </row>
    <row r="52" spans="1:19" ht="15">
      <c r="A52" s="62">
        <v>1965</v>
      </c>
      <c r="B52" s="61">
        <v>24.697673144043783</v>
      </c>
      <c r="C52" s="61">
        <v>10.849859176595977</v>
      </c>
      <c r="D52" s="20"/>
      <c r="E52" s="20"/>
      <c r="F52" s="20"/>
      <c r="G52" s="20"/>
      <c r="H52" s="20"/>
      <c r="I52" s="20"/>
      <c r="J52" s="20"/>
      <c r="K52" s="43"/>
      <c r="L52" s="1"/>
      <c r="M52" s="1"/>
      <c r="N52" s="1"/>
      <c r="O52" s="1"/>
      <c r="P52" s="1"/>
      <c r="Q52" s="1"/>
      <c r="R52" s="1"/>
      <c r="S52" s="1"/>
    </row>
    <row r="53" spans="1:19" ht="15">
      <c r="A53" s="62">
        <v>1969</v>
      </c>
      <c r="B53" s="61">
        <v>22.86189701834779</v>
      </c>
      <c r="C53" s="61">
        <v>9.866832047116274</v>
      </c>
      <c r="D53" s="20"/>
      <c r="E53" s="20"/>
      <c r="F53" s="20"/>
      <c r="G53" s="20"/>
      <c r="H53" s="20"/>
      <c r="I53" s="20"/>
      <c r="J53" s="20"/>
      <c r="K53" s="43"/>
      <c r="L53" s="1"/>
      <c r="M53" s="1"/>
      <c r="N53" s="1"/>
      <c r="O53" s="1"/>
      <c r="P53" s="1"/>
      <c r="Q53" s="1"/>
      <c r="R53" s="1"/>
      <c r="S53" s="1"/>
    </row>
    <row r="54" spans="1:19" ht="15">
      <c r="A54" s="62">
        <v>1972</v>
      </c>
      <c r="B54" s="61">
        <v>23.13146230560628</v>
      </c>
      <c r="C54" s="61">
        <v>9.890739081452036</v>
      </c>
      <c r="D54" s="20"/>
      <c r="E54" s="20"/>
      <c r="F54" s="20"/>
      <c r="G54" s="20"/>
      <c r="H54" s="20"/>
      <c r="I54" s="20"/>
      <c r="J54" s="20"/>
      <c r="K54" s="43"/>
      <c r="L54" s="1"/>
      <c r="M54" s="1"/>
      <c r="N54" s="1"/>
      <c r="O54" s="1"/>
      <c r="P54" s="1"/>
      <c r="Q54" s="1"/>
      <c r="R54" s="1"/>
      <c r="S54" s="1"/>
    </row>
    <row r="55" spans="1:19" ht="15">
      <c r="A55" s="62">
        <v>1976</v>
      </c>
      <c r="B55" s="61">
        <v>19.321245653515216</v>
      </c>
      <c r="C55" s="61">
        <v>7.45397761534622</v>
      </c>
      <c r="D55" s="20"/>
      <c r="E55" s="20"/>
      <c r="F55" s="20"/>
      <c r="G55" s="20"/>
      <c r="H55" s="20"/>
      <c r="I55" s="20"/>
      <c r="J55" s="20"/>
      <c r="K55" s="43"/>
      <c r="L55" s="1"/>
      <c r="M55" s="1"/>
      <c r="N55" s="1"/>
      <c r="O55" s="1"/>
      <c r="P55" s="1"/>
      <c r="Q55" s="1"/>
      <c r="R55" s="1"/>
      <c r="S55" s="1"/>
    </row>
    <row r="56" spans="1:19" ht="15">
      <c r="A56" s="62">
        <v>1982</v>
      </c>
      <c r="B56" s="61">
        <v>19.056332458763425</v>
      </c>
      <c r="C56" s="61">
        <v>7.328496412806359</v>
      </c>
      <c r="D56" s="20"/>
      <c r="E56" s="20"/>
      <c r="F56" s="20"/>
      <c r="G56" s="20"/>
      <c r="H56" s="20"/>
      <c r="I56" s="20"/>
      <c r="J56" s="20"/>
      <c r="K56" s="43"/>
      <c r="L56" s="1"/>
      <c r="M56" s="1"/>
      <c r="N56" s="1"/>
      <c r="O56" s="1"/>
      <c r="P56" s="1"/>
      <c r="Q56" s="1"/>
      <c r="R56" s="1"/>
      <c r="S56" s="1"/>
    </row>
    <row r="57" spans="1:19" ht="15">
      <c r="A57" s="62">
        <v>1983</v>
      </c>
      <c r="B57" s="61">
        <v>21.072233739998264</v>
      </c>
      <c r="C57" s="61">
        <v>8.396977961656276</v>
      </c>
      <c r="D57" s="20"/>
      <c r="E57" s="20"/>
      <c r="F57" s="20"/>
      <c r="G57" s="20"/>
      <c r="H57" s="20"/>
      <c r="I57" s="20"/>
      <c r="J57" s="20"/>
      <c r="K57" s="43"/>
      <c r="L57" s="1"/>
      <c r="M57" s="1"/>
      <c r="N57" s="1"/>
      <c r="O57" s="1"/>
      <c r="P57" s="1"/>
      <c r="Q57" s="1"/>
      <c r="R57" s="1"/>
      <c r="S57" s="1"/>
    </row>
    <row r="58" spans="1:19" ht="15">
      <c r="A58" s="62">
        <v>1984</v>
      </c>
      <c r="B58" s="61">
        <v>20.95005902240262</v>
      </c>
      <c r="C58" s="61">
        <v>8.604575728842939</v>
      </c>
      <c r="D58" s="20"/>
      <c r="E58" s="20"/>
      <c r="F58" s="20"/>
      <c r="G58" s="20"/>
      <c r="H58" s="20"/>
      <c r="I58" s="20"/>
      <c r="J58" s="20"/>
      <c r="K58" s="43"/>
      <c r="L58" s="1"/>
      <c r="M58" s="1"/>
      <c r="N58" s="1"/>
      <c r="O58" s="1"/>
      <c r="P58" s="1"/>
      <c r="Q58" s="1"/>
      <c r="R58" s="1"/>
      <c r="S58" s="1"/>
    </row>
    <row r="59" spans="1:19" ht="15">
      <c r="A59" s="62">
        <v>1985</v>
      </c>
      <c r="B59" s="61">
        <v>22.350440516511146</v>
      </c>
      <c r="C59" s="61">
        <v>9.448605745251077</v>
      </c>
      <c r="D59" s="20"/>
      <c r="E59" s="20"/>
      <c r="F59" s="20"/>
      <c r="G59" s="20"/>
      <c r="H59" s="20"/>
      <c r="I59" s="20"/>
      <c r="J59" s="20"/>
      <c r="K59" s="43"/>
      <c r="L59" s="1"/>
      <c r="M59" s="1"/>
      <c r="N59" s="1"/>
      <c r="O59" s="1"/>
      <c r="P59" s="1"/>
      <c r="Q59" s="1"/>
      <c r="R59" s="1"/>
      <c r="S59" s="1"/>
    </row>
    <row r="60" spans="1:19" ht="15">
      <c r="A60" s="62">
        <v>1986</v>
      </c>
      <c r="B60" s="61">
        <v>22.655720456549062</v>
      </c>
      <c r="C60" s="61">
        <v>9.60676352188708</v>
      </c>
      <c r="D60" s="20"/>
      <c r="E60" s="20"/>
      <c r="F60" s="20"/>
      <c r="G60" s="20"/>
      <c r="H60" s="20"/>
      <c r="I60" s="20"/>
      <c r="J60" s="20"/>
      <c r="K60" s="43"/>
      <c r="L60" s="1"/>
      <c r="M60" s="1"/>
      <c r="N60" s="1"/>
      <c r="O60" s="1"/>
      <c r="P60" s="1"/>
      <c r="Q60" s="1"/>
      <c r="R60" s="1"/>
      <c r="S60" s="1"/>
    </row>
    <row r="61" spans="1:19" ht="15">
      <c r="A61" s="62">
        <v>1987</v>
      </c>
      <c r="B61" s="61">
        <v>21.566796819727426</v>
      </c>
      <c r="C61" s="61">
        <v>8.98392955481821</v>
      </c>
      <c r="D61" s="20"/>
      <c r="E61" s="20"/>
      <c r="F61" s="20"/>
      <c r="G61" s="20"/>
      <c r="H61" s="20"/>
      <c r="I61" s="20"/>
      <c r="J61" s="20"/>
      <c r="K61" s="43"/>
      <c r="L61" s="1"/>
      <c r="M61" s="1"/>
      <c r="N61" s="1"/>
      <c r="O61" s="1"/>
      <c r="P61" s="1"/>
      <c r="Q61" s="1"/>
      <c r="R61" s="1"/>
      <c r="S61" s="1"/>
    </row>
    <row r="62" spans="1:19" ht="15">
      <c r="A62" s="62">
        <v>1988</v>
      </c>
      <c r="B62" s="61">
        <v>21.704840760401915</v>
      </c>
      <c r="C62" s="61">
        <v>8.954083952059138</v>
      </c>
      <c r="D62" s="20"/>
      <c r="E62" s="20"/>
      <c r="F62" s="20"/>
      <c r="G62" s="20"/>
      <c r="H62" s="20"/>
      <c r="I62" s="20"/>
      <c r="J62" s="20"/>
      <c r="K62" s="43"/>
      <c r="L62" s="1"/>
      <c r="M62" s="1"/>
      <c r="N62" s="1"/>
      <c r="O62" s="1"/>
      <c r="P62" s="1"/>
      <c r="Q62" s="1"/>
      <c r="R62" s="1"/>
      <c r="S62" s="1"/>
    </row>
    <row r="63" spans="1:19" ht="15">
      <c r="A63" s="62">
        <v>1989</v>
      </c>
      <c r="B63" s="61">
        <v>21.963453597790984</v>
      </c>
      <c r="C63" s="61">
        <v>9.30010520441438</v>
      </c>
      <c r="D63" s="20"/>
      <c r="E63" s="20"/>
      <c r="F63" s="20"/>
      <c r="G63" s="20"/>
      <c r="H63" s="20"/>
      <c r="I63" s="20"/>
      <c r="J63" s="20"/>
      <c r="K63" s="43"/>
      <c r="L63" s="1"/>
      <c r="M63" s="1"/>
      <c r="N63" s="1"/>
      <c r="O63" s="1"/>
      <c r="P63" s="1"/>
      <c r="Q63" s="1"/>
      <c r="R63" s="1"/>
      <c r="S63" s="1"/>
    </row>
    <row r="64" spans="1:19" ht="15">
      <c r="A64" s="62">
        <v>1990</v>
      </c>
      <c r="B64" s="61">
        <v>20.863289316085115</v>
      </c>
      <c r="C64" s="61">
        <v>8.72978110191872</v>
      </c>
      <c r="D64" s="20"/>
      <c r="E64" s="20"/>
      <c r="F64" s="20"/>
      <c r="G64" s="20"/>
      <c r="H64" s="20"/>
      <c r="I64" s="20"/>
      <c r="J64" s="20"/>
      <c r="K64" s="43"/>
      <c r="L64" s="1"/>
      <c r="M64" s="1"/>
      <c r="N64" s="1"/>
      <c r="O64" s="1"/>
      <c r="P64" s="1"/>
      <c r="Q64" s="1"/>
      <c r="R64" s="1"/>
      <c r="S64" s="1"/>
    </row>
    <row r="65" spans="1:19" ht="15">
      <c r="A65" s="62">
        <v>1991</v>
      </c>
      <c r="B65" s="61">
        <v>21.53543554461538</v>
      </c>
      <c r="C65" s="61">
        <v>8.952108668047568</v>
      </c>
      <c r="D65" s="20"/>
      <c r="E65" s="20"/>
      <c r="F65" s="20"/>
      <c r="G65" s="20"/>
      <c r="H65" s="20"/>
      <c r="I65" s="20"/>
      <c r="J65" s="20"/>
      <c r="K65" s="43"/>
      <c r="L65" s="1"/>
      <c r="M65" s="1"/>
      <c r="N65" s="1"/>
      <c r="O65" s="1"/>
      <c r="P65" s="1"/>
      <c r="Q65" s="1"/>
      <c r="R65" s="1"/>
      <c r="S65" s="1"/>
    </row>
    <row r="66" spans="1:19" ht="15">
      <c r="A66" s="62">
        <v>1992</v>
      </c>
      <c r="B66" s="61">
        <v>21.17847824454032</v>
      </c>
      <c r="C66" s="61">
        <v>8.993551990925052</v>
      </c>
      <c r="D66" s="20"/>
      <c r="E66" s="20"/>
      <c r="F66" s="20"/>
      <c r="G66" s="20"/>
      <c r="H66" s="20"/>
      <c r="I66" s="20"/>
      <c r="J66" s="20"/>
      <c r="K66" s="43"/>
      <c r="L66" s="1"/>
      <c r="M66" s="1"/>
      <c r="N66" s="1"/>
      <c r="O66" s="1"/>
      <c r="P66" s="1"/>
      <c r="Q66" s="1"/>
      <c r="R66" s="1"/>
      <c r="S66" s="1"/>
    </row>
    <row r="67" spans="1:19" ht="15">
      <c r="A67" s="62">
        <v>1993</v>
      </c>
      <c r="B67" s="61">
        <v>21.310825712105505</v>
      </c>
      <c r="C67" s="61">
        <v>8.692467215372533</v>
      </c>
      <c r="D67" s="20"/>
      <c r="E67" s="20"/>
      <c r="F67" s="20"/>
      <c r="G67" s="20"/>
      <c r="H67" s="20"/>
      <c r="I67" s="20"/>
      <c r="J67" s="20"/>
      <c r="K67" s="43"/>
      <c r="L67" s="1"/>
      <c r="M67" s="1"/>
      <c r="N67" s="1"/>
      <c r="O67" s="1"/>
      <c r="P67" s="1"/>
      <c r="Q67" s="1"/>
      <c r="R67" s="1"/>
      <c r="S67" s="1"/>
    </row>
    <row r="68" spans="1:19" ht="15">
      <c r="A68" s="62">
        <v>1994</v>
      </c>
      <c r="B68" s="61">
        <v>21.581002615961538</v>
      </c>
      <c r="C68" s="61">
        <v>8.99846304576652</v>
      </c>
      <c r="D68" s="20"/>
      <c r="E68" s="20"/>
      <c r="F68" s="20"/>
      <c r="G68" s="20"/>
      <c r="H68" s="20"/>
      <c r="I68" s="20"/>
      <c r="J68" s="20"/>
      <c r="K68" s="43"/>
      <c r="L68" s="1"/>
      <c r="M68" s="1"/>
      <c r="N68" s="1"/>
      <c r="O68" s="1"/>
      <c r="P68" s="1"/>
      <c r="Q68" s="1"/>
      <c r="R68" s="1"/>
      <c r="S68" s="1"/>
    </row>
    <row r="69" spans="1:19" ht="15">
      <c r="A69" s="62">
        <v>1995</v>
      </c>
      <c r="B69" s="61">
        <v>21.540591748278906</v>
      </c>
      <c r="C69" s="61">
        <v>9.290933636048146</v>
      </c>
      <c r="D69" s="20"/>
      <c r="E69" s="20"/>
      <c r="F69" s="20"/>
      <c r="G69" s="20"/>
      <c r="H69" s="20"/>
      <c r="I69" s="20"/>
      <c r="J69" s="20"/>
      <c r="K69" s="43"/>
      <c r="L69" s="1"/>
      <c r="M69" s="1"/>
      <c r="N69" s="1"/>
      <c r="O69" s="1"/>
      <c r="P69" s="1"/>
      <c r="Q69" s="1"/>
      <c r="R69" s="1"/>
      <c r="S69" s="1"/>
    </row>
    <row r="70" spans="1:19" ht="15">
      <c r="A70" s="62">
        <v>1996</v>
      </c>
      <c r="B70" s="61">
        <v>21.448377842557175</v>
      </c>
      <c r="C70" s="61">
        <v>9.079115067249965</v>
      </c>
      <c r="D70" s="20"/>
      <c r="E70" s="20"/>
      <c r="F70" s="20"/>
      <c r="G70" s="20"/>
      <c r="H70" s="20"/>
      <c r="I70" s="20"/>
      <c r="J70" s="20"/>
      <c r="K70" s="43"/>
      <c r="L70" s="1"/>
      <c r="M70" s="1"/>
      <c r="N70" s="1"/>
      <c r="O70" s="1"/>
      <c r="P70" s="1"/>
      <c r="Q70" s="1"/>
      <c r="R70" s="1"/>
      <c r="S70" s="1"/>
    </row>
    <row r="71" spans="1:19" ht="15">
      <c r="A71" s="62">
        <v>1997</v>
      </c>
      <c r="B71" s="61">
        <v>21.239483701750743</v>
      </c>
      <c r="C71" s="61">
        <v>8.918731072780131</v>
      </c>
      <c r="D71" s="20"/>
      <c r="E71" s="20"/>
      <c r="F71" s="20"/>
      <c r="G71" s="20"/>
      <c r="H71" s="20"/>
      <c r="I71" s="20"/>
      <c r="J71" s="20"/>
      <c r="K71" s="43"/>
      <c r="L71" s="1"/>
      <c r="M71" s="1"/>
      <c r="N71" s="1"/>
      <c r="O71" s="1"/>
      <c r="P71" s="1"/>
      <c r="Q71" s="1"/>
      <c r="R71" s="1"/>
      <c r="S71" s="1"/>
    </row>
    <row r="72" spans="1:19" ht="15">
      <c r="A72" s="62">
        <v>1998</v>
      </c>
      <c r="B72" s="61">
        <v>21.695755740147547</v>
      </c>
      <c r="C72" s="61">
        <v>9.381348931167302</v>
      </c>
      <c r="D72" s="20"/>
      <c r="E72" s="20"/>
      <c r="F72" s="20"/>
      <c r="G72" s="20"/>
      <c r="H72" s="20"/>
      <c r="I72" s="20"/>
      <c r="J72" s="20"/>
      <c r="K72" s="43"/>
      <c r="L72" s="1"/>
      <c r="M72" s="1"/>
      <c r="N72" s="1"/>
      <c r="O72" s="1"/>
      <c r="P72" s="1"/>
      <c r="Q72" s="1"/>
      <c r="R72" s="1"/>
      <c r="S72" s="1"/>
    </row>
    <row r="73" spans="1:19" ht="15">
      <c r="A73" s="54">
        <v>1999</v>
      </c>
      <c r="B73" s="61">
        <v>21.68242899063562</v>
      </c>
      <c r="C73" s="61">
        <v>9.401496503232034</v>
      </c>
      <c r="D73" s="20"/>
      <c r="E73" s="20"/>
      <c r="F73" s="20"/>
      <c r="G73" s="20"/>
      <c r="H73" s="20"/>
      <c r="I73" s="20"/>
      <c r="J73" s="20"/>
      <c r="K73" s="43"/>
      <c r="L73" s="1"/>
      <c r="M73" s="1"/>
      <c r="N73" s="1"/>
      <c r="O73" s="1"/>
      <c r="P73" s="1"/>
      <c r="Q73" s="1"/>
      <c r="R73" s="1"/>
      <c r="S73" s="1"/>
    </row>
    <row r="74" spans="1:19" ht="15" thickBot="1">
      <c r="A74" s="63">
        <v>2000</v>
      </c>
      <c r="B74" s="64">
        <v>20.787237158986763</v>
      </c>
      <c r="C74" s="64">
        <v>9.061987414867426</v>
      </c>
      <c r="D74" s="58"/>
      <c r="E74" s="58"/>
      <c r="F74" s="58"/>
      <c r="G74" s="58"/>
      <c r="H74" s="58"/>
      <c r="I74" s="58"/>
      <c r="J74" s="58"/>
      <c r="K74" s="65"/>
      <c r="L74" s="1"/>
      <c r="M74" s="1"/>
      <c r="N74" s="1"/>
      <c r="O74" s="1"/>
      <c r="P74" s="1"/>
      <c r="Q74" s="1"/>
      <c r="R74" s="1"/>
      <c r="S74" s="1"/>
    </row>
    <row r="75" spans="1:19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</sheetData>
  <sheetProtection/>
  <mergeCells count="3">
    <mergeCell ref="A4:C4"/>
    <mergeCell ref="D4:F4"/>
    <mergeCell ref="A3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10.8515625" defaultRowHeight="12.75"/>
  <cols>
    <col min="1" max="34" width="7.7109375" style="77" customWidth="1"/>
    <col min="35" max="16384" width="10.8515625" style="77" customWidth="1"/>
  </cols>
  <sheetData>
    <row r="1" spans="1:14" ht="1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5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29" ht="30" customHeight="1" thickTop="1">
      <c r="A4" s="255" t="s">
        <v>72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P4" s="255" t="s">
        <v>72</v>
      </c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</row>
    <row r="5" spans="1:30" ht="18" customHeight="1">
      <c r="A5" s="78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79"/>
      <c r="P5" s="78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79"/>
    </row>
    <row r="6" spans="1:31" ht="18" customHeight="1">
      <c r="A6" s="258"/>
      <c r="B6" s="251" t="s">
        <v>73</v>
      </c>
      <c r="C6" s="253" t="s">
        <v>74</v>
      </c>
      <c r="D6" s="253" t="s">
        <v>75</v>
      </c>
      <c r="E6" s="251" t="s">
        <v>76</v>
      </c>
      <c r="F6" s="249" t="s">
        <v>77</v>
      </c>
      <c r="G6" s="253" t="s">
        <v>78</v>
      </c>
      <c r="H6" s="249" t="s">
        <v>79</v>
      </c>
      <c r="I6" s="253" t="s">
        <v>80</v>
      </c>
      <c r="J6" s="249" t="s">
        <v>81</v>
      </c>
      <c r="K6" s="253" t="s">
        <v>82</v>
      </c>
      <c r="L6" s="249" t="s">
        <v>98</v>
      </c>
      <c r="M6" s="260" t="s">
        <v>84</v>
      </c>
      <c r="N6" s="251" t="s">
        <v>83</v>
      </c>
      <c r="O6" s="80"/>
      <c r="P6" s="258"/>
      <c r="Q6" s="251" t="s">
        <v>73</v>
      </c>
      <c r="R6" s="253" t="s">
        <v>74</v>
      </c>
      <c r="S6" s="253" t="s">
        <v>75</v>
      </c>
      <c r="T6" s="251" t="s">
        <v>76</v>
      </c>
      <c r="U6" s="249" t="s">
        <v>77</v>
      </c>
      <c r="V6" s="253" t="s">
        <v>78</v>
      </c>
      <c r="W6" s="249" t="s">
        <v>79</v>
      </c>
      <c r="X6" s="253" t="s">
        <v>80</v>
      </c>
      <c r="Y6" s="249" t="s">
        <v>81</v>
      </c>
      <c r="Z6" s="253" t="s">
        <v>82</v>
      </c>
      <c r="AA6" s="249" t="s">
        <v>98</v>
      </c>
      <c r="AB6" s="260" t="s">
        <v>84</v>
      </c>
      <c r="AC6" s="251" t="s">
        <v>83</v>
      </c>
      <c r="AD6" s="80"/>
      <c r="AE6" s="80"/>
    </row>
    <row r="7" spans="1:31" ht="18" customHeight="1">
      <c r="A7" s="155"/>
      <c r="B7" s="161"/>
      <c r="C7" s="220"/>
      <c r="D7" s="220"/>
      <c r="E7" s="161"/>
      <c r="F7" s="214"/>
      <c r="G7" s="220"/>
      <c r="H7" s="214"/>
      <c r="I7" s="220"/>
      <c r="J7" s="214"/>
      <c r="K7" s="220"/>
      <c r="L7" s="214"/>
      <c r="M7" s="261"/>
      <c r="N7" s="161"/>
      <c r="O7" s="80"/>
      <c r="P7" s="155"/>
      <c r="Q7" s="161"/>
      <c r="R7" s="220"/>
      <c r="S7" s="220"/>
      <c r="T7" s="161"/>
      <c r="U7" s="214"/>
      <c r="V7" s="220"/>
      <c r="W7" s="214"/>
      <c r="X7" s="220"/>
      <c r="Y7" s="214"/>
      <c r="Z7" s="220"/>
      <c r="AA7" s="214"/>
      <c r="AB7" s="261"/>
      <c r="AC7" s="161"/>
      <c r="AD7" s="80"/>
      <c r="AE7" s="80"/>
    </row>
    <row r="8" spans="1:31" ht="18" customHeight="1">
      <c r="A8" s="155"/>
      <c r="B8" s="161"/>
      <c r="C8" s="220"/>
      <c r="D8" s="220"/>
      <c r="E8" s="161"/>
      <c r="F8" s="214"/>
      <c r="G8" s="220"/>
      <c r="H8" s="214"/>
      <c r="I8" s="220"/>
      <c r="J8" s="214"/>
      <c r="K8" s="220"/>
      <c r="L8" s="214"/>
      <c r="M8" s="261"/>
      <c r="N8" s="161"/>
      <c r="O8" s="80"/>
      <c r="P8" s="155"/>
      <c r="Q8" s="161"/>
      <c r="R8" s="220"/>
      <c r="S8" s="220"/>
      <c r="T8" s="161"/>
      <c r="U8" s="214"/>
      <c r="V8" s="220"/>
      <c r="W8" s="214"/>
      <c r="X8" s="220"/>
      <c r="Y8" s="214"/>
      <c r="Z8" s="220"/>
      <c r="AA8" s="214"/>
      <c r="AB8" s="261"/>
      <c r="AC8" s="161"/>
      <c r="AD8" s="80"/>
      <c r="AE8" s="80"/>
    </row>
    <row r="9" spans="1:31" ht="18" customHeight="1">
      <c r="A9" s="155"/>
      <c r="B9" s="252"/>
      <c r="C9" s="254"/>
      <c r="D9" s="254"/>
      <c r="E9" s="252"/>
      <c r="F9" s="250"/>
      <c r="G9" s="254"/>
      <c r="H9" s="250"/>
      <c r="I9" s="254"/>
      <c r="J9" s="250"/>
      <c r="K9" s="254"/>
      <c r="L9" s="250"/>
      <c r="M9" s="262"/>
      <c r="N9" s="252"/>
      <c r="O9" s="80"/>
      <c r="P9" s="155"/>
      <c r="Q9" s="252"/>
      <c r="R9" s="254"/>
      <c r="S9" s="254"/>
      <c r="T9" s="252"/>
      <c r="U9" s="250"/>
      <c r="V9" s="254"/>
      <c r="W9" s="250"/>
      <c r="X9" s="254"/>
      <c r="Y9" s="250"/>
      <c r="Z9" s="254"/>
      <c r="AA9" s="250"/>
      <c r="AB9" s="262"/>
      <c r="AC9" s="252"/>
      <c r="AD9" s="80"/>
      <c r="AE9" s="80"/>
    </row>
    <row r="10" spans="1:31" ht="18" customHeight="1">
      <c r="A10" s="259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80"/>
      <c r="P10" s="259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80"/>
      <c r="AE10" s="80"/>
    </row>
    <row r="11" spans="1:31" ht="18" customHeight="1">
      <c r="A11" s="81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80"/>
      <c r="P11" s="81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80"/>
      <c r="AE11" s="80"/>
    </row>
    <row r="12" spans="1:29" ht="1.5" customHeight="1">
      <c r="A12" s="82"/>
      <c r="B12" s="83" t="s">
        <v>85</v>
      </c>
      <c r="C12" s="83" t="s">
        <v>86</v>
      </c>
      <c r="D12" s="83" t="s">
        <v>87</v>
      </c>
      <c r="E12" s="83" t="s">
        <v>88</v>
      </c>
      <c r="F12" s="83" t="s">
        <v>89</v>
      </c>
      <c r="G12" s="84" t="s">
        <v>90</v>
      </c>
      <c r="H12" s="84" t="s">
        <v>91</v>
      </c>
      <c r="I12" s="84" t="s">
        <v>92</v>
      </c>
      <c r="J12" s="84" t="s">
        <v>93</v>
      </c>
      <c r="K12" s="84" t="s">
        <v>94</v>
      </c>
      <c r="L12" s="84"/>
      <c r="M12" s="84"/>
      <c r="N12" s="85" t="s">
        <v>95</v>
      </c>
      <c r="P12" s="82"/>
      <c r="Q12" s="83" t="s">
        <v>85</v>
      </c>
      <c r="R12" s="83" t="s">
        <v>86</v>
      </c>
      <c r="S12" s="83" t="s">
        <v>87</v>
      </c>
      <c r="T12" s="83" t="s">
        <v>88</v>
      </c>
      <c r="U12" s="83" t="s">
        <v>89</v>
      </c>
      <c r="V12" s="84" t="s">
        <v>90</v>
      </c>
      <c r="W12" s="84" t="s">
        <v>91</v>
      </c>
      <c r="X12" s="84" t="s">
        <v>92</v>
      </c>
      <c r="Y12" s="84" t="s">
        <v>93</v>
      </c>
      <c r="Z12" s="84" t="s">
        <v>94</v>
      </c>
      <c r="AA12" s="84"/>
      <c r="AB12" s="84"/>
      <c r="AC12" s="85" t="s">
        <v>95</v>
      </c>
    </row>
    <row r="13" spans="1:31" ht="15" customHeight="1">
      <c r="A13" s="86">
        <v>1872</v>
      </c>
      <c r="B13" s="87">
        <v>0.3394495</v>
      </c>
      <c r="C13" s="88">
        <v>0.3279471</v>
      </c>
      <c r="D13" s="88">
        <v>0.0115024</v>
      </c>
      <c r="E13" s="87">
        <v>0.6338589</v>
      </c>
      <c r="F13" s="89">
        <v>0.1737502</v>
      </c>
      <c r="G13" s="88">
        <v>0.0129041</v>
      </c>
      <c r="H13" s="89">
        <v>0.2125713</v>
      </c>
      <c r="I13" s="88">
        <v>0.0187377</v>
      </c>
      <c r="J13" s="89">
        <v>0.1466944</v>
      </c>
      <c r="K13" s="88">
        <v>0.0390347</v>
      </c>
      <c r="L13" s="89">
        <v>0.10084299999999999</v>
      </c>
      <c r="M13" s="90">
        <f>G13+I13+K13</f>
        <v>0.0706765</v>
      </c>
      <c r="N13" s="87">
        <v>0.0266916</v>
      </c>
      <c r="O13" s="91"/>
      <c r="P13" s="86">
        <v>1872</v>
      </c>
      <c r="Q13" s="87">
        <f>1-T13-AC13</f>
        <v>0.41544203539823</v>
      </c>
      <c r="R13" s="88">
        <f>Q13-S13</f>
        <v>0.28544203539823</v>
      </c>
      <c r="S13" s="88">
        <v>0.13</v>
      </c>
      <c r="T13" s="87">
        <f>'DetailsTS10.4(1)'!E13/(1+'DetailsTS10.4(1)'!$S13)</f>
        <v>0.5609370796460178</v>
      </c>
      <c r="U13" s="89">
        <f>'DetailsTS10.4(1)'!F13/(1+'DetailsTS10.4(1)'!$S13)</f>
        <v>0.1537612389380531</v>
      </c>
      <c r="V13" s="88">
        <f>'DetailsTS10.4(1)'!G13/(1+'DetailsTS10.4(1)'!$S13)</f>
        <v>0.011419557522123895</v>
      </c>
      <c r="W13" s="89">
        <f>'DetailsTS10.4(1)'!H13/(1+'DetailsTS10.4(1)'!$S13)</f>
        <v>0.1881161946902655</v>
      </c>
      <c r="X13" s="88">
        <f>'DetailsTS10.4(1)'!I13/(1+'DetailsTS10.4(1)'!$S13)</f>
        <v>0.01658203539823009</v>
      </c>
      <c r="Y13" s="89">
        <f>'DetailsTS10.4(1)'!J13/(1+'DetailsTS10.4(1)'!$S13)</f>
        <v>0.12981805309734515</v>
      </c>
      <c r="Z13" s="88">
        <f>'DetailsTS10.4(1)'!K13/(1+'DetailsTS10.4(1)'!$S13)</f>
        <v>0.03454398230088496</v>
      </c>
      <c r="AA13" s="89">
        <f>'DetailsTS10.4(1)'!L13/(1+'DetailsTS10.4(1)'!$S13)</f>
        <v>0.08924159292035398</v>
      </c>
      <c r="AB13" s="90">
        <f>'DetailsTS10.4(1)'!M13/(1+'DetailsTS10.4(1)'!$S13)</f>
        <v>0.06254557522123895</v>
      </c>
      <c r="AC13" s="87">
        <f>'DetailsTS10.4(1)'!N13/(1+'DetailsTS10.4(1)'!$S13)</f>
        <v>0.023620884955752215</v>
      </c>
      <c r="AD13" s="91"/>
      <c r="AE13" s="95">
        <f>Q13+T13+AC13</f>
        <v>1</v>
      </c>
    </row>
    <row r="14" spans="1:31" ht="15" customHeight="1">
      <c r="A14" s="86">
        <v>1882</v>
      </c>
      <c r="B14" s="87">
        <v>0.3459876</v>
      </c>
      <c r="C14" s="88">
        <v>0.34313</v>
      </c>
      <c r="D14" s="88">
        <v>0.0028576</v>
      </c>
      <c r="E14" s="87">
        <v>0.6303893</v>
      </c>
      <c r="F14" s="89">
        <v>0.1761394</v>
      </c>
      <c r="G14" s="88">
        <v>0.0196592</v>
      </c>
      <c r="H14" s="89">
        <v>0.2059454</v>
      </c>
      <c r="I14" s="88">
        <v>0.0247977</v>
      </c>
      <c r="J14" s="89">
        <v>0.1642982</v>
      </c>
      <c r="K14" s="88">
        <v>0.0338423</v>
      </c>
      <c r="L14" s="89">
        <v>0.0840063</v>
      </c>
      <c r="M14" s="90">
        <f>G14+I14+K14</f>
        <v>0.0782992</v>
      </c>
      <c r="N14" s="87">
        <v>0.0236231</v>
      </c>
      <c r="O14" s="91"/>
      <c r="P14" s="86">
        <v>1882</v>
      </c>
      <c r="Q14" s="87">
        <f>1-T14-AC14</f>
        <v>0.41079963963963967</v>
      </c>
      <c r="R14" s="88">
        <f>Q14-S14</f>
        <v>0.3007996396396397</v>
      </c>
      <c r="S14" s="88">
        <v>0.11</v>
      </c>
      <c r="T14" s="87">
        <f>'DetailsTS10.4(1)'!E14/(1+'DetailsTS10.4(1)'!$S14)</f>
        <v>0.5679182882882883</v>
      </c>
      <c r="U14" s="89">
        <f>'DetailsTS10.4(1)'!F14/(1+'DetailsTS10.4(1)'!$S14)</f>
        <v>0.15868414414414414</v>
      </c>
      <c r="V14" s="88">
        <f>'DetailsTS10.4(1)'!G14/(1+'DetailsTS10.4(1)'!$S14)</f>
        <v>0.01771099099099099</v>
      </c>
      <c r="W14" s="89">
        <f>'DetailsTS10.4(1)'!H14/(1+'DetailsTS10.4(1)'!$S14)</f>
        <v>0.18553639639639638</v>
      </c>
      <c r="X14" s="88">
        <f>'DetailsTS10.4(1)'!I14/(1+'DetailsTS10.4(1)'!$S14)</f>
        <v>0.022340270270270267</v>
      </c>
      <c r="Y14" s="89">
        <f>'DetailsTS10.4(1)'!J14/(1+'DetailsTS10.4(1)'!$S14)</f>
        <v>0.14801639639639638</v>
      </c>
      <c r="Z14" s="88">
        <f>'DetailsTS10.4(1)'!K14/(1+'DetailsTS10.4(1)'!$S14)</f>
        <v>0.030488558558558556</v>
      </c>
      <c r="AA14" s="89">
        <f>'DetailsTS10.4(1)'!L14/(1+'DetailsTS10.4(1)'!$S14)</f>
        <v>0.07568135135135134</v>
      </c>
      <c r="AB14" s="90">
        <f>'DetailsTS10.4(1)'!M14/(1+'DetailsTS10.4(1)'!$S14)</f>
        <v>0.07053981981981981</v>
      </c>
      <c r="AC14" s="87">
        <f>'DetailsTS10.4(1)'!N14/(1+'DetailsTS10.4(1)'!$S14)</f>
        <v>0.02128207207207207</v>
      </c>
      <c r="AD14" s="91"/>
      <c r="AE14" s="95">
        <f>Q14+T14+AC14</f>
        <v>1</v>
      </c>
    </row>
    <row r="15" spans="1:31" ht="18" customHeight="1">
      <c r="A15" s="86">
        <v>1912</v>
      </c>
      <c r="B15" s="87">
        <v>0.3570394</v>
      </c>
      <c r="C15" s="88">
        <v>0.2458059</v>
      </c>
      <c r="D15" s="88">
        <v>0.1112335</v>
      </c>
      <c r="E15" s="87">
        <v>0.6152886</v>
      </c>
      <c r="F15" s="89">
        <v>0.2019995</v>
      </c>
      <c r="G15" s="88">
        <v>0.0664669</v>
      </c>
      <c r="H15" s="89">
        <v>0.1850549</v>
      </c>
      <c r="I15" s="88">
        <v>0.0457287</v>
      </c>
      <c r="J15" s="89">
        <v>0.1421421</v>
      </c>
      <c r="K15" s="88">
        <v>0.088534</v>
      </c>
      <c r="L15" s="89">
        <v>0.0860921</v>
      </c>
      <c r="M15" s="90">
        <f>G15+I15+K15</f>
        <v>0.2007296</v>
      </c>
      <c r="N15" s="87">
        <v>0.027672</v>
      </c>
      <c r="O15" s="91"/>
      <c r="P15" s="86">
        <v>1912</v>
      </c>
      <c r="Q15" s="87">
        <v>0.3570394</v>
      </c>
      <c r="R15" s="88">
        <v>0.2458059</v>
      </c>
      <c r="S15" s="88">
        <v>0.1112335</v>
      </c>
      <c r="T15" s="87">
        <v>0.6152886</v>
      </c>
      <c r="U15" s="89">
        <v>0.2019995</v>
      </c>
      <c r="V15" s="88">
        <v>0.0664669</v>
      </c>
      <c r="W15" s="89">
        <v>0.1850549</v>
      </c>
      <c r="X15" s="88">
        <v>0.0457287</v>
      </c>
      <c r="Y15" s="89">
        <v>0.1421421</v>
      </c>
      <c r="Z15" s="88">
        <v>0.088534</v>
      </c>
      <c r="AA15" s="89">
        <v>0.0860921</v>
      </c>
      <c r="AB15" s="90">
        <f>V15+X15+Z15</f>
        <v>0.2007296</v>
      </c>
      <c r="AC15" s="87">
        <v>0.027672</v>
      </c>
      <c r="AD15" s="91"/>
      <c r="AE15" s="95">
        <f>Q15+T15+AC15</f>
        <v>1</v>
      </c>
    </row>
    <row r="16" spans="1:29" ht="4.5" customHeight="1">
      <c r="A16" s="8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P16" s="86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ht="15">
      <c r="A17" s="81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P17" s="81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</row>
    <row r="18" spans="1:29" ht="1.5" customHeight="1">
      <c r="A18" s="82"/>
      <c r="B18" s="83" t="s">
        <v>85</v>
      </c>
      <c r="C18" s="83" t="s">
        <v>86</v>
      </c>
      <c r="D18" s="83" t="s">
        <v>87</v>
      </c>
      <c r="E18" s="83" t="s">
        <v>88</v>
      </c>
      <c r="F18" s="83" t="s">
        <v>89</v>
      </c>
      <c r="G18" s="84" t="s">
        <v>90</v>
      </c>
      <c r="H18" s="84" t="s">
        <v>91</v>
      </c>
      <c r="I18" s="84" t="s">
        <v>92</v>
      </c>
      <c r="J18" s="84" t="s">
        <v>93</v>
      </c>
      <c r="K18" s="84" t="s">
        <v>94</v>
      </c>
      <c r="L18" s="84"/>
      <c r="M18" s="84"/>
      <c r="N18" s="85" t="s">
        <v>95</v>
      </c>
      <c r="P18" s="82"/>
      <c r="Q18" s="83" t="s">
        <v>85</v>
      </c>
      <c r="R18" s="83" t="s">
        <v>86</v>
      </c>
      <c r="S18" s="83" t="s">
        <v>87</v>
      </c>
      <c r="T18" s="83" t="s">
        <v>88</v>
      </c>
      <c r="U18" s="83" t="s">
        <v>89</v>
      </c>
      <c r="V18" s="84" t="s">
        <v>90</v>
      </c>
      <c r="W18" s="84" t="s">
        <v>91</v>
      </c>
      <c r="X18" s="84" t="s">
        <v>92</v>
      </c>
      <c r="Y18" s="84" t="s">
        <v>93</v>
      </c>
      <c r="Z18" s="84" t="s">
        <v>94</v>
      </c>
      <c r="AA18" s="84"/>
      <c r="AB18" s="84"/>
      <c r="AC18" s="85" t="s">
        <v>95</v>
      </c>
    </row>
    <row r="19" spans="1:31" ht="15">
      <c r="A19" s="86">
        <v>1872</v>
      </c>
      <c r="B19" s="87">
        <v>0.3598728</v>
      </c>
      <c r="C19" s="88">
        <v>0.3425339</v>
      </c>
      <c r="D19" s="88">
        <v>0.0173388</v>
      </c>
      <c r="E19" s="87">
        <v>0.6202582</v>
      </c>
      <c r="F19" s="89">
        <v>0.1847023</v>
      </c>
      <c r="G19" s="88">
        <v>0.0156707</v>
      </c>
      <c r="H19" s="89">
        <v>0.1761052</v>
      </c>
      <c r="I19" s="88">
        <v>0.0222378</v>
      </c>
      <c r="J19" s="89">
        <v>0.1431964</v>
      </c>
      <c r="K19" s="88">
        <v>0.0479024</v>
      </c>
      <c r="L19" s="89">
        <v>0.1162543</v>
      </c>
      <c r="M19" s="90">
        <f>G19+I19+K19</f>
        <v>0.0858109</v>
      </c>
      <c r="N19" s="87">
        <v>0.0198691</v>
      </c>
      <c r="P19" s="86">
        <v>1872</v>
      </c>
      <c r="Q19" s="87">
        <f>1-T19-AC19</f>
        <v>0.4335156637168141</v>
      </c>
      <c r="R19" s="88">
        <f>Q19-S19</f>
        <v>0.3035156637168141</v>
      </c>
      <c r="S19" s="88">
        <v>0.13</v>
      </c>
      <c r="T19" s="87">
        <f>'DetailsTS10.4(1)'!E19/(1+'DetailsTS10.4(1)'!$S19)</f>
        <v>0.5489010619469027</v>
      </c>
      <c r="U19" s="89">
        <f>'DetailsTS10.4(1)'!F19/(1+'DetailsTS10.4(1)'!$S19)</f>
        <v>0.16345336283185843</v>
      </c>
      <c r="V19" s="88">
        <f>'DetailsTS10.4(1)'!G19/(1+'DetailsTS10.4(1)'!$S19)</f>
        <v>0.013867876106194691</v>
      </c>
      <c r="W19" s="89">
        <f>'DetailsTS10.4(1)'!H19/(1+'DetailsTS10.4(1)'!$S19)</f>
        <v>0.15584530973451327</v>
      </c>
      <c r="X19" s="88">
        <f>'DetailsTS10.4(1)'!I19/(1+'DetailsTS10.4(1)'!$S19)</f>
        <v>0.019679469026548674</v>
      </c>
      <c r="Y19" s="89">
        <f>'DetailsTS10.4(1)'!J19/(1+'DetailsTS10.4(1)'!$S19)</f>
        <v>0.12672247787610622</v>
      </c>
      <c r="Z19" s="88">
        <f>'DetailsTS10.4(1)'!K19/(1+'DetailsTS10.4(1)'!$S19)</f>
        <v>0.042391504424778764</v>
      </c>
      <c r="AA19" s="89">
        <f>'DetailsTS10.4(1)'!L19/(1+'DetailsTS10.4(1)'!$S19)</f>
        <v>0.1028799115044248</v>
      </c>
      <c r="AB19" s="90">
        <f>'DetailsTS10.4(1)'!M19/(1+'DetailsTS10.4(1)'!$S19)</f>
        <v>0.07593884955752213</v>
      </c>
      <c r="AC19" s="87">
        <f>'DetailsTS10.4(1)'!N19/(1+'DetailsTS10.4(1)'!$S19)</f>
        <v>0.017583274336283188</v>
      </c>
      <c r="AE19" s="95">
        <f>Q19+T19+AC19</f>
        <v>1</v>
      </c>
    </row>
    <row r="20" spans="1:31" ht="15">
      <c r="A20" s="86">
        <v>1882</v>
      </c>
      <c r="B20" s="87">
        <v>0.3466531</v>
      </c>
      <c r="C20" s="88">
        <v>0.3452239</v>
      </c>
      <c r="D20" s="88">
        <v>0.0014292</v>
      </c>
      <c r="E20" s="87">
        <v>0.6380821</v>
      </c>
      <c r="F20" s="89">
        <v>0.1890411</v>
      </c>
      <c r="G20" s="88">
        <v>0.0239126</v>
      </c>
      <c r="H20" s="89">
        <v>0.1890344</v>
      </c>
      <c r="I20" s="88">
        <v>0.0275276</v>
      </c>
      <c r="J20" s="89">
        <v>0.177962</v>
      </c>
      <c r="K20" s="88">
        <v>0.0437705</v>
      </c>
      <c r="L20" s="89">
        <v>0.0820447</v>
      </c>
      <c r="M20" s="90">
        <f>G20+I20+K20</f>
        <v>0.0952107</v>
      </c>
      <c r="N20" s="87">
        <v>0.0152649</v>
      </c>
      <c r="P20" s="86">
        <v>1882</v>
      </c>
      <c r="Q20" s="87">
        <f>1-T20-AC20</f>
        <v>0.40604818181818186</v>
      </c>
      <c r="R20" s="88">
        <f>Q20-S20</f>
        <v>0.30604818181818183</v>
      </c>
      <c r="S20" s="88">
        <v>0.1</v>
      </c>
      <c r="T20" s="87">
        <f>'DetailsTS10.4(1)'!E20/(1+'DetailsTS10.4(1)'!$S20)</f>
        <v>0.5800746363636363</v>
      </c>
      <c r="U20" s="89">
        <f>'DetailsTS10.4(1)'!F20/(1+'DetailsTS10.4(1)'!$S20)</f>
        <v>0.17185554545454543</v>
      </c>
      <c r="V20" s="88">
        <f>'DetailsTS10.4(1)'!G20/(1+'DetailsTS10.4(1)'!$S20)</f>
        <v>0.02173872727272727</v>
      </c>
      <c r="W20" s="89">
        <f>'DetailsTS10.4(1)'!H20/(1+'DetailsTS10.4(1)'!$S20)</f>
        <v>0.17184945454545453</v>
      </c>
      <c r="X20" s="88">
        <f>'DetailsTS10.4(1)'!I20/(1+'DetailsTS10.4(1)'!$S20)</f>
        <v>0.025025090909090907</v>
      </c>
      <c r="Y20" s="89">
        <f>'DetailsTS10.4(1)'!J20/(1+'DetailsTS10.4(1)'!$S20)</f>
        <v>0.16178363636363635</v>
      </c>
      <c r="Z20" s="88">
        <f>'DetailsTS10.4(1)'!K20/(1+'DetailsTS10.4(1)'!$S20)</f>
        <v>0.03979136363636363</v>
      </c>
      <c r="AA20" s="89">
        <f>'DetailsTS10.4(1)'!L20/(1+'DetailsTS10.4(1)'!$S20)</f>
        <v>0.07458609090909091</v>
      </c>
      <c r="AB20" s="90">
        <f>'DetailsTS10.4(1)'!M20/(1+'DetailsTS10.4(1)'!$S20)</f>
        <v>0.08655518181818181</v>
      </c>
      <c r="AC20" s="87">
        <f>'DetailsTS10.4(1)'!N20/(1+'DetailsTS10.4(1)'!$S20)</f>
        <v>0.013877181818181816</v>
      </c>
      <c r="AE20" s="95">
        <f>Q20+T20+AC20</f>
        <v>1</v>
      </c>
    </row>
    <row r="21" spans="1:31" ht="15">
      <c r="A21" s="86">
        <v>1912</v>
      </c>
      <c r="B21" s="87">
        <v>0.3247803</v>
      </c>
      <c r="C21" s="88">
        <v>0.2211604</v>
      </c>
      <c r="D21" s="88">
        <v>0.10362</v>
      </c>
      <c r="E21" s="87">
        <v>0.6538293</v>
      </c>
      <c r="F21" s="89">
        <v>0.2430957</v>
      </c>
      <c r="G21" s="88">
        <v>0.0934746</v>
      </c>
      <c r="H21" s="89">
        <v>0.1908742</v>
      </c>
      <c r="I21" s="88">
        <v>0.0519179</v>
      </c>
      <c r="J21" s="89">
        <v>0.1376101</v>
      </c>
      <c r="K21" s="88">
        <v>0.0956097</v>
      </c>
      <c r="L21" s="89">
        <v>0.0822494</v>
      </c>
      <c r="M21" s="90">
        <f>G21+I21+K21</f>
        <v>0.2410022</v>
      </c>
      <c r="N21" s="87">
        <v>0.0213904</v>
      </c>
      <c r="P21" s="86">
        <v>1912</v>
      </c>
      <c r="Q21" s="87">
        <v>0.3247803</v>
      </c>
      <c r="R21" s="88">
        <v>0.2211604</v>
      </c>
      <c r="S21" s="88">
        <v>0.10362</v>
      </c>
      <c r="T21" s="87">
        <v>0.6538293</v>
      </c>
      <c r="U21" s="89">
        <v>0.2430957</v>
      </c>
      <c r="V21" s="88">
        <v>0.0934746</v>
      </c>
      <c r="W21" s="89">
        <v>0.1908742</v>
      </c>
      <c r="X21" s="88">
        <v>0.0519179</v>
      </c>
      <c r="Y21" s="89">
        <v>0.1376101</v>
      </c>
      <c r="Z21" s="88">
        <v>0.0956097</v>
      </c>
      <c r="AA21" s="89">
        <v>0.0822494</v>
      </c>
      <c r="AB21" s="90">
        <f>V21+X21+Z21</f>
        <v>0.2410022</v>
      </c>
      <c r="AC21" s="87">
        <v>0.0213904</v>
      </c>
      <c r="AE21" s="95">
        <f>Q21+T21+AC21</f>
        <v>1</v>
      </c>
    </row>
    <row r="22" spans="1:29" ht="15">
      <c r="A22" s="81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P22" s="81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</row>
    <row r="23" spans="1:29" ht="1.5" customHeight="1">
      <c r="A23" s="82"/>
      <c r="B23" s="83" t="s">
        <v>85</v>
      </c>
      <c r="C23" s="83" t="s">
        <v>86</v>
      </c>
      <c r="D23" s="83" t="s">
        <v>87</v>
      </c>
      <c r="E23" s="83" t="s">
        <v>88</v>
      </c>
      <c r="F23" s="83" t="s">
        <v>89</v>
      </c>
      <c r="G23" s="84" t="s">
        <v>90</v>
      </c>
      <c r="H23" s="84" t="s">
        <v>91</v>
      </c>
      <c r="I23" s="84" t="s">
        <v>92</v>
      </c>
      <c r="J23" s="84" t="s">
        <v>93</v>
      </c>
      <c r="K23" s="84" t="s">
        <v>94</v>
      </c>
      <c r="L23" s="84"/>
      <c r="M23" s="84"/>
      <c r="N23" s="85" t="s">
        <v>95</v>
      </c>
      <c r="P23" s="82"/>
      <c r="Q23" s="83" t="s">
        <v>85</v>
      </c>
      <c r="R23" s="83" t="s">
        <v>86</v>
      </c>
      <c r="S23" s="83" t="s">
        <v>87</v>
      </c>
      <c r="T23" s="83" t="s">
        <v>88</v>
      </c>
      <c r="U23" s="83" t="s">
        <v>89</v>
      </c>
      <c r="V23" s="84" t="s">
        <v>90</v>
      </c>
      <c r="W23" s="84" t="s">
        <v>91</v>
      </c>
      <c r="X23" s="84" t="s">
        <v>92</v>
      </c>
      <c r="Y23" s="84" t="s">
        <v>93</v>
      </c>
      <c r="Z23" s="84" t="s">
        <v>94</v>
      </c>
      <c r="AA23" s="84"/>
      <c r="AB23" s="84"/>
      <c r="AC23" s="85" t="s">
        <v>95</v>
      </c>
    </row>
    <row r="24" spans="1:31" ht="15">
      <c r="A24" s="86">
        <v>1872</v>
      </c>
      <c r="B24" s="87">
        <v>0.3334794</v>
      </c>
      <c r="C24" s="88">
        <v>0.3291704</v>
      </c>
      <c r="D24" s="88">
        <v>0.004309</v>
      </c>
      <c r="E24" s="87">
        <v>0.6395521</v>
      </c>
      <c r="F24" s="89">
        <v>0.16043</v>
      </c>
      <c r="G24" s="88">
        <v>0.0096541</v>
      </c>
      <c r="H24" s="89">
        <v>0.25308</v>
      </c>
      <c r="I24" s="88">
        <v>0.0145755</v>
      </c>
      <c r="J24" s="89">
        <v>0.1467674</v>
      </c>
      <c r="K24" s="88">
        <v>0.0283022</v>
      </c>
      <c r="L24" s="89">
        <v>0.0792747</v>
      </c>
      <c r="M24" s="90">
        <f>G24+I24+K24</f>
        <v>0.052531800000000003</v>
      </c>
      <c r="N24" s="87">
        <v>0.0269685</v>
      </c>
      <c r="P24" s="86">
        <v>1872</v>
      </c>
      <c r="Q24" s="87">
        <f>1-T24-AC24</f>
        <v>0.42041686956521734</v>
      </c>
      <c r="R24" s="88">
        <f>Q24-S24</f>
        <v>0.2704168695652174</v>
      </c>
      <c r="S24" s="88">
        <v>0.15</v>
      </c>
      <c r="T24" s="87">
        <f>'DetailsTS10.4(1)'!E24/(1+'DetailsTS10.4(1)'!$S24)</f>
        <v>0.5561322608695652</v>
      </c>
      <c r="U24" s="89">
        <f>'DetailsTS10.4(1)'!F24/(1+'DetailsTS10.4(1)'!$S24)</f>
        <v>0.13950434782608695</v>
      </c>
      <c r="V24" s="88">
        <f>'DetailsTS10.4(1)'!G24/(1+'DetailsTS10.4(1)'!$S24)</f>
        <v>0.008394869565217393</v>
      </c>
      <c r="W24" s="89">
        <f>'DetailsTS10.4(1)'!H24/(1+'DetailsTS10.4(1)'!$S24)</f>
        <v>0.22006956521739135</v>
      </c>
      <c r="X24" s="88">
        <f>'DetailsTS10.4(1)'!I24/(1+'DetailsTS10.4(1)'!$S24)</f>
        <v>0.012674347826086958</v>
      </c>
      <c r="Y24" s="89">
        <f>'DetailsTS10.4(1)'!J24/(1+'DetailsTS10.4(1)'!$S24)</f>
        <v>0.12762382608695652</v>
      </c>
      <c r="Z24" s="88">
        <f>'DetailsTS10.4(1)'!K24/(1+'DetailsTS10.4(1)'!$S24)</f>
        <v>0.024610608695652174</v>
      </c>
      <c r="AA24" s="89">
        <f>'DetailsTS10.4(1)'!L24/(1+'DetailsTS10.4(1)'!$S24)</f>
        <v>0.06893452173913045</v>
      </c>
      <c r="AB24" s="90">
        <f>'DetailsTS10.4(1)'!M24/(1+'DetailsTS10.4(1)'!$S24)</f>
        <v>0.045679826086956525</v>
      </c>
      <c r="AC24" s="87">
        <f>'DetailsTS10.4(1)'!N24/(1+'DetailsTS10.4(1)'!$S24)</f>
        <v>0.023450869565217393</v>
      </c>
      <c r="AE24" s="95">
        <f>Q24+T24+AC24</f>
        <v>1</v>
      </c>
    </row>
    <row r="25" spans="1:31" ht="15">
      <c r="A25" s="86">
        <v>1882</v>
      </c>
      <c r="B25" s="87">
        <v>0.3611708</v>
      </c>
      <c r="C25" s="88">
        <v>0.3562224</v>
      </c>
      <c r="D25" s="88">
        <v>0.0049484</v>
      </c>
      <c r="E25" s="87">
        <v>0.6102779</v>
      </c>
      <c r="F25" s="89">
        <v>0.1564071</v>
      </c>
      <c r="G25" s="88">
        <v>0.0146784</v>
      </c>
      <c r="H25" s="89">
        <v>0.2271241</v>
      </c>
      <c r="I25" s="88">
        <v>0.0219374</v>
      </c>
      <c r="J25" s="89">
        <v>0.1435828</v>
      </c>
      <c r="K25" s="88">
        <v>0.021123</v>
      </c>
      <c r="L25" s="89">
        <v>0.0831639</v>
      </c>
      <c r="M25" s="90">
        <f>G25+I25+K25</f>
        <v>0.05773879999999999</v>
      </c>
      <c r="N25" s="87">
        <v>0.0285513</v>
      </c>
      <c r="P25" s="86">
        <v>1882</v>
      </c>
      <c r="Q25" s="87">
        <f>1-T25-AC25</f>
        <v>0.42961678571428574</v>
      </c>
      <c r="R25" s="88">
        <f>Q25-S25</f>
        <v>0.30961678571428575</v>
      </c>
      <c r="S25" s="88">
        <v>0.12</v>
      </c>
      <c r="T25" s="87">
        <f>'DetailsTS10.4(1)'!E25/(1+'DetailsTS10.4(1)'!$S25)</f>
        <v>0.5448909821428571</v>
      </c>
      <c r="U25" s="89">
        <f>'DetailsTS10.4(1)'!F25/(1+'DetailsTS10.4(1)'!$S25)</f>
        <v>0.1396491964285714</v>
      </c>
      <c r="V25" s="88">
        <f>'DetailsTS10.4(1)'!G25/(1+'DetailsTS10.4(1)'!$S25)</f>
        <v>0.013105714285714285</v>
      </c>
      <c r="W25" s="89">
        <f>'DetailsTS10.4(1)'!H25/(1+'DetailsTS10.4(1)'!$S25)</f>
        <v>0.20278937499999997</v>
      </c>
      <c r="X25" s="88">
        <f>'DetailsTS10.4(1)'!I25/(1+'DetailsTS10.4(1)'!$S25)</f>
        <v>0.019586964285714284</v>
      </c>
      <c r="Y25" s="89">
        <f>'DetailsTS10.4(1)'!J25/(1+'DetailsTS10.4(1)'!$S25)</f>
        <v>0.12819892857142856</v>
      </c>
      <c r="Z25" s="88">
        <f>'DetailsTS10.4(1)'!K25/(1+'DetailsTS10.4(1)'!$S25)</f>
        <v>0.018859821428571427</v>
      </c>
      <c r="AA25" s="89">
        <f>'DetailsTS10.4(1)'!L25/(1+'DetailsTS10.4(1)'!$S25)</f>
        <v>0.07425348214285714</v>
      </c>
      <c r="AB25" s="90">
        <f>'DetailsTS10.4(1)'!M25/(1+'DetailsTS10.4(1)'!$S25)</f>
        <v>0.05155249999999999</v>
      </c>
      <c r="AC25" s="87">
        <f>'DetailsTS10.4(1)'!N25/(1+'DetailsTS10.4(1)'!$S25)</f>
        <v>0.025492232142857143</v>
      </c>
      <c r="AE25" s="95">
        <f>Q25+T25+AC25</f>
        <v>1</v>
      </c>
    </row>
    <row r="26" spans="1:31" ht="15">
      <c r="A26" s="86">
        <v>1912</v>
      </c>
      <c r="B26" s="87">
        <v>0.412484</v>
      </c>
      <c r="C26" s="88">
        <v>0.2962541</v>
      </c>
      <c r="D26" s="88">
        <v>0.1162298</v>
      </c>
      <c r="E26" s="87">
        <v>0.5538484</v>
      </c>
      <c r="F26" s="89">
        <v>0.1389242</v>
      </c>
      <c r="G26" s="88">
        <v>0.0254774</v>
      </c>
      <c r="H26" s="89">
        <v>0.1778154</v>
      </c>
      <c r="I26" s="88">
        <v>0.0370492</v>
      </c>
      <c r="J26" s="89">
        <v>0.1497871</v>
      </c>
      <c r="K26" s="88">
        <v>0.0799601</v>
      </c>
      <c r="L26" s="89">
        <v>0.0873218</v>
      </c>
      <c r="M26" s="90">
        <f>G26+I26+K26</f>
        <v>0.14248670000000002</v>
      </c>
      <c r="N26" s="87">
        <v>0.0336676</v>
      </c>
      <c r="P26" s="86">
        <v>1912</v>
      </c>
      <c r="Q26" s="87">
        <v>0.412484</v>
      </c>
      <c r="R26" s="88">
        <v>0.2962541</v>
      </c>
      <c r="S26" s="88">
        <v>0.1162298</v>
      </c>
      <c r="T26" s="87">
        <v>0.5538484</v>
      </c>
      <c r="U26" s="89">
        <v>0.1389242</v>
      </c>
      <c r="V26" s="88">
        <v>0.0254774</v>
      </c>
      <c r="W26" s="89">
        <v>0.1778154</v>
      </c>
      <c r="X26" s="88">
        <v>0.0370492</v>
      </c>
      <c r="Y26" s="89">
        <v>0.1497871</v>
      </c>
      <c r="Z26" s="88">
        <v>0.0799601</v>
      </c>
      <c r="AA26" s="89">
        <v>0.0873218</v>
      </c>
      <c r="AB26" s="90">
        <f>V26+X26+Z26</f>
        <v>0.14248670000000002</v>
      </c>
      <c r="AC26" s="87">
        <v>0.0336676</v>
      </c>
      <c r="AE26" s="95">
        <f>Q26+T26+AC26</f>
        <v>1</v>
      </c>
    </row>
    <row r="27" spans="1:29" ht="15">
      <c r="A27" s="81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P27" s="81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</row>
    <row r="28" spans="1:29" ht="1.5" customHeight="1">
      <c r="A28" s="82"/>
      <c r="B28" s="83" t="s">
        <v>85</v>
      </c>
      <c r="C28" s="83" t="s">
        <v>86</v>
      </c>
      <c r="D28" s="83" t="s">
        <v>87</v>
      </c>
      <c r="E28" s="83" t="s">
        <v>88</v>
      </c>
      <c r="F28" s="83" t="s">
        <v>89</v>
      </c>
      <c r="G28" s="84" t="s">
        <v>90</v>
      </c>
      <c r="H28" s="84" t="s">
        <v>91</v>
      </c>
      <c r="I28" s="84" t="s">
        <v>92</v>
      </c>
      <c r="J28" s="84" t="s">
        <v>93</v>
      </c>
      <c r="K28" s="84" t="s">
        <v>94</v>
      </c>
      <c r="L28" s="84"/>
      <c r="M28" s="84"/>
      <c r="N28" s="85" t="s">
        <v>95</v>
      </c>
      <c r="P28" s="82"/>
      <c r="Q28" s="83" t="s">
        <v>85</v>
      </c>
      <c r="R28" s="83" t="s">
        <v>86</v>
      </c>
      <c r="S28" s="83" t="s">
        <v>87</v>
      </c>
      <c r="T28" s="83" t="s">
        <v>88</v>
      </c>
      <c r="U28" s="83" t="s">
        <v>89</v>
      </c>
      <c r="V28" s="84" t="s">
        <v>90</v>
      </c>
      <c r="W28" s="84" t="s">
        <v>91</v>
      </c>
      <c r="X28" s="84" t="s">
        <v>92</v>
      </c>
      <c r="Y28" s="84" t="s">
        <v>93</v>
      </c>
      <c r="Z28" s="84" t="s">
        <v>94</v>
      </c>
      <c r="AA28" s="84"/>
      <c r="AB28" s="84"/>
      <c r="AC28" s="85" t="s">
        <v>95</v>
      </c>
    </row>
    <row r="29" spans="1:31" ht="15">
      <c r="A29" s="86">
        <v>1872</v>
      </c>
      <c r="B29" s="87">
        <v>0.078341</v>
      </c>
      <c r="C29" s="88">
        <v>0.0736759</v>
      </c>
      <c r="D29" s="88">
        <v>0.0046651</v>
      </c>
      <c r="E29" s="87">
        <v>0.7865275</v>
      </c>
      <c r="F29" s="89">
        <v>0.1587198</v>
      </c>
      <c r="G29" s="88">
        <v>0.0076905</v>
      </c>
      <c r="H29" s="89">
        <v>0.3100759</v>
      </c>
      <c r="I29" s="88">
        <v>0.0127652</v>
      </c>
      <c r="J29" s="89">
        <v>0.203146</v>
      </c>
      <c r="K29" s="88">
        <v>0.0262138</v>
      </c>
      <c r="L29" s="89">
        <v>0.1145858</v>
      </c>
      <c r="M29" s="90">
        <f>G29+I29+K29</f>
        <v>0.0466695</v>
      </c>
      <c r="N29" s="87">
        <v>0.1351315</v>
      </c>
      <c r="P29" s="86">
        <v>1872</v>
      </c>
      <c r="Q29" s="87">
        <f>1-T29-AC29</f>
        <v>0.2685246031746032</v>
      </c>
      <c r="R29" s="88">
        <f>Q29-S29</f>
        <v>0.008524603174603185</v>
      </c>
      <c r="S29" s="88">
        <v>0.26</v>
      </c>
      <c r="T29" s="87">
        <f>'DetailsTS10.4(1)'!E29/(1+'DetailsTS10.4(1)'!$S29)</f>
        <v>0.6242281746031746</v>
      </c>
      <c r="U29" s="89">
        <f>'DetailsTS10.4(1)'!F29/(1+'DetailsTS10.4(1)'!$S29)</f>
        <v>0.12596809523809524</v>
      </c>
      <c r="V29" s="88">
        <f>'DetailsTS10.4(1)'!G29/(1+'DetailsTS10.4(1)'!$S29)</f>
        <v>0.006103571428571429</v>
      </c>
      <c r="W29" s="89">
        <f>'DetailsTS10.4(1)'!H29/(1+'DetailsTS10.4(1)'!$S29)</f>
        <v>0.24609198412698413</v>
      </c>
      <c r="X29" s="88">
        <f>'DetailsTS10.4(1)'!I29/(1+'DetailsTS10.4(1)'!$S29)</f>
        <v>0.010131111111111112</v>
      </c>
      <c r="Y29" s="89">
        <f>'DetailsTS10.4(1)'!J29/(1+'DetailsTS10.4(1)'!$S29)</f>
        <v>0.1612269841269841</v>
      </c>
      <c r="Z29" s="88">
        <f>'DetailsTS10.4(1)'!K29/(1+'DetailsTS10.4(1)'!$S29)</f>
        <v>0.020804603174603174</v>
      </c>
      <c r="AA29" s="89">
        <f>'DetailsTS10.4(1)'!L29/(1+'DetailsTS10.4(1)'!$S29)</f>
        <v>0.09094111111111111</v>
      </c>
      <c r="AB29" s="90">
        <f>'DetailsTS10.4(1)'!M29/(1+'DetailsTS10.4(1)'!$S29)</f>
        <v>0.03703928571428572</v>
      </c>
      <c r="AC29" s="87">
        <f>'DetailsTS10.4(1)'!N29/(1+'DetailsTS10.4(1)'!$S29)</f>
        <v>0.10724722222222222</v>
      </c>
      <c r="AE29" s="95">
        <f>Q29+T29+AC29</f>
        <v>1</v>
      </c>
    </row>
    <row r="30" spans="1:31" ht="15">
      <c r="A30" s="86">
        <v>1882</v>
      </c>
      <c r="B30" s="87">
        <v>0.0947301</v>
      </c>
      <c r="C30" s="88">
        <v>0.0932164</v>
      </c>
      <c r="D30" s="88">
        <v>0.0015137</v>
      </c>
      <c r="E30" s="87">
        <v>0.7756214</v>
      </c>
      <c r="F30" s="89">
        <v>0.2015041</v>
      </c>
      <c r="G30" s="88">
        <v>0.0042574</v>
      </c>
      <c r="H30" s="89">
        <v>0.2457455</v>
      </c>
      <c r="I30" s="88">
        <v>0.0096664</v>
      </c>
      <c r="J30" s="89">
        <v>0.1883188</v>
      </c>
      <c r="K30" s="88">
        <v>0.0149305</v>
      </c>
      <c r="L30" s="89">
        <v>0.14005299999999998</v>
      </c>
      <c r="M30" s="90">
        <f>G30+I30+K30</f>
        <v>0.0288543</v>
      </c>
      <c r="N30" s="87">
        <v>0.1296485</v>
      </c>
      <c r="P30" s="86">
        <v>1882</v>
      </c>
      <c r="Q30" s="87">
        <f>1-T30-AC30</f>
        <v>0.2815318253968254</v>
      </c>
      <c r="R30" s="88">
        <f>Q30-S30</f>
        <v>0.02153182539682541</v>
      </c>
      <c r="S30" s="88">
        <v>0.26</v>
      </c>
      <c r="T30" s="87">
        <f>'DetailsTS10.4(1)'!E30/(1+'DetailsTS10.4(1)'!$S30)</f>
        <v>0.6155725396825397</v>
      </c>
      <c r="U30" s="89">
        <f>'DetailsTS10.4(1)'!F30/(1+'DetailsTS10.4(1)'!$S30)</f>
        <v>0.1599238888888889</v>
      </c>
      <c r="V30" s="88">
        <f>'DetailsTS10.4(1)'!G30/(1+'DetailsTS10.4(1)'!$S30)</f>
        <v>0.0033788888888888887</v>
      </c>
      <c r="W30" s="89">
        <f>'DetailsTS10.4(1)'!H30/(1+'DetailsTS10.4(1)'!$S30)</f>
        <v>0.1950361111111111</v>
      </c>
      <c r="X30" s="88">
        <f>'DetailsTS10.4(1)'!I30/(1+'DetailsTS10.4(1)'!$S30)</f>
        <v>0.007671746031746032</v>
      </c>
      <c r="Y30" s="89">
        <f>'DetailsTS10.4(1)'!J30/(1+'DetailsTS10.4(1)'!$S30)</f>
        <v>0.14945936507936508</v>
      </c>
      <c r="Z30" s="88">
        <f>'DetailsTS10.4(1)'!K30/(1+'DetailsTS10.4(1)'!$S30)</f>
        <v>0.011849603174603174</v>
      </c>
      <c r="AA30" s="89">
        <f>'DetailsTS10.4(1)'!L30/(1+'DetailsTS10.4(1)'!$S30)</f>
        <v>0.11115317460317459</v>
      </c>
      <c r="AB30" s="90">
        <f>'DetailsTS10.4(1)'!M30/(1+'DetailsTS10.4(1)'!$S30)</f>
        <v>0.022900238095238095</v>
      </c>
      <c r="AC30" s="87">
        <f>'DetailsTS10.4(1)'!N30/(1+'DetailsTS10.4(1)'!$S30)</f>
        <v>0.10289563492063492</v>
      </c>
      <c r="AE30" s="95">
        <f>Q30+T30+AC30</f>
        <v>1</v>
      </c>
    </row>
    <row r="31" spans="1:31" ht="15">
      <c r="A31" s="86">
        <v>1912</v>
      </c>
      <c r="B31" s="87">
        <v>0.3131449</v>
      </c>
      <c r="C31" s="88">
        <v>0.0699271</v>
      </c>
      <c r="D31" s="88">
        <v>0.2432178</v>
      </c>
      <c r="E31" s="87">
        <v>0.5832533</v>
      </c>
      <c r="F31" s="89">
        <v>0.1249325</v>
      </c>
      <c r="G31" s="88">
        <v>0.0076793</v>
      </c>
      <c r="H31" s="89">
        <v>0.1443677</v>
      </c>
      <c r="I31" s="88">
        <v>0.0196955</v>
      </c>
      <c r="J31" s="89">
        <v>0.1385132</v>
      </c>
      <c r="K31" s="88">
        <v>0.0350369</v>
      </c>
      <c r="L31" s="89">
        <v>0.17543999999999998</v>
      </c>
      <c r="M31" s="90">
        <f>G31+I31+K31</f>
        <v>0.0624117</v>
      </c>
      <c r="N31" s="87">
        <v>0.1036018</v>
      </c>
      <c r="P31" s="86">
        <v>1912</v>
      </c>
      <c r="Q31" s="87">
        <v>0.3131449</v>
      </c>
      <c r="R31" s="88">
        <v>0.0699271</v>
      </c>
      <c r="S31" s="88">
        <v>0.2432178</v>
      </c>
      <c r="T31" s="87">
        <v>0.5832533</v>
      </c>
      <c r="U31" s="89">
        <v>0.1249325</v>
      </c>
      <c r="V31" s="88">
        <v>0.0076793</v>
      </c>
      <c r="W31" s="89">
        <v>0.1443677</v>
      </c>
      <c r="X31" s="88">
        <v>0.0196955</v>
      </c>
      <c r="Y31" s="89">
        <v>0.1385132</v>
      </c>
      <c r="Z31" s="88">
        <v>0.0350369</v>
      </c>
      <c r="AA31" s="89">
        <v>0.17543999999999998</v>
      </c>
      <c r="AB31" s="90">
        <f>V31+X31+Z31</f>
        <v>0.0624117</v>
      </c>
      <c r="AC31" s="87">
        <v>0.1036018</v>
      </c>
      <c r="AE31" s="95">
        <f>Q31+T31+AC31</f>
        <v>0.9999999999999999</v>
      </c>
    </row>
    <row r="32" spans="1:31" ht="15.75" thickBo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E32" s="95"/>
    </row>
    <row r="33" spans="1:29" ht="15.75" thickBot="1" thickTop="1">
      <c r="A33" s="242" t="s">
        <v>96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P33" s="242" t="s">
        <v>96</v>
      </c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</row>
    <row r="34" spans="1:29" ht="15.75" thickBot="1" thickTop="1">
      <c r="A34" s="244" t="s">
        <v>97</v>
      </c>
      <c r="B34" s="245"/>
      <c r="C34" s="245"/>
      <c r="D34" s="245"/>
      <c r="E34" s="245"/>
      <c r="F34" s="245"/>
      <c r="G34" s="245"/>
      <c r="H34" s="246"/>
      <c r="I34" s="246"/>
      <c r="J34" s="246"/>
      <c r="K34" s="246"/>
      <c r="L34" s="246"/>
      <c r="M34" s="246"/>
      <c r="N34" s="246"/>
      <c r="P34" s="244" t="s">
        <v>97</v>
      </c>
      <c r="Q34" s="245"/>
      <c r="R34" s="245"/>
      <c r="S34" s="245"/>
      <c r="T34" s="245"/>
      <c r="U34" s="245"/>
      <c r="V34" s="245"/>
      <c r="W34" s="246"/>
      <c r="X34" s="246"/>
      <c r="Y34" s="246"/>
      <c r="Z34" s="246"/>
      <c r="AA34" s="246"/>
      <c r="AB34" s="246"/>
      <c r="AC34" s="246"/>
    </row>
    <row r="35" ht="15" thickTop="1"/>
  </sheetData>
  <sheetProtection/>
  <mergeCells count="46">
    <mergeCell ref="P33:AC33"/>
    <mergeCell ref="P34:AC34"/>
    <mergeCell ref="Q22:AC22"/>
    <mergeCell ref="Q27:AC27"/>
    <mergeCell ref="Q11:AC11"/>
    <mergeCell ref="Q17:AC17"/>
    <mergeCell ref="Q10:AC10"/>
    <mergeCell ref="W6:W9"/>
    <mergeCell ref="AC6:AC9"/>
    <mergeCell ref="Z6:Z9"/>
    <mergeCell ref="R6:R9"/>
    <mergeCell ref="S6:S9"/>
    <mergeCell ref="X6:X9"/>
    <mergeCell ref="P4:AC4"/>
    <mergeCell ref="Q5:AC5"/>
    <mergeCell ref="P6:P10"/>
    <mergeCell ref="Q6:Q9"/>
    <mergeCell ref="T6:T9"/>
    <mergeCell ref="U6:U9"/>
    <mergeCell ref="V6:V9"/>
    <mergeCell ref="Y6:Y9"/>
    <mergeCell ref="AA6:AA9"/>
    <mergeCell ref="AB6:AB9"/>
    <mergeCell ref="A4:N4"/>
    <mergeCell ref="B5:N5"/>
    <mergeCell ref="A6:A10"/>
    <mergeCell ref="B6:B9"/>
    <mergeCell ref="E6:E9"/>
    <mergeCell ref="F6:F9"/>
    <mergeCell ref="G6:G9"/>
    <mergeCell ref="J6:J9"/>
    <mergeCell ref="L6:L9"/>
    <mergeCell ref="M6:M9"/>
    <mergeCell ref="B10:N10"/>
    <mergeCell ref="H6:H9"/>
    <mergeCell ref="N6:N9"/>
    <mergeCell ref="K6:K9"/>
    <mergeCell ref="C6:C9"/>
    <mergeCell ref="D6:D9"/>
    <mergeCell ref="I6:I9"/>
    <mergeCell ref="A33:N33"/>
    <mergeCell ref="A34:N34"/>
    <mergeCell ref="B22:N22"/>
    <mergeCell ref="B27:N27"/>
    <mergeCell ref="B11:N11"/>
    <mergeCell ref="B17:N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10.8515625" defaultRowHeight="12.75"/>
  <cols>
    <col min="1" max="1" width="7.7109375" style="77" customWidth="1"/>
    <col min="2" max="2" width="9.7109375" style="77" customWidth="1"/>
    <col min="3" max="4" width="7.7109375" style="77" customWidth="1"/>
    <col min="5" max="5" width="8.7109375" style="77" customWidth="1"/>
    <col min="6" max="7" width="7.7109375" style="77" customWidth="1"/>
    <col min="8" max="8" width="8.28125" style="77" customWidth="1"/>
    <col min="9" max="9" width="7.7109375" style="77" customWidth="1"/>
    <col min="10" max="10" width="8.28125" style="77" customWidth="1"/>
    <col min="11" max="12" width="7.7109375" style="77" customWidth="1"/>
    <col min="13" max="13" width="8.7109375" style="77" customWidth="1"/>
    <col min="14" max="14" width="7.7109375" style="77" customWidth="1"/>
    <col min="15" max="21" width="5.8515625" style="77" customWidth="1"/>
    <col min="22" max="25" width="8.28125" style="77" customWidth="1"/>
    <col min="26" max="29" width="13.28125" style="77" customWidth="1"/>
    <col min="30" max="16384" width="10.8515625" style="77" customWidth="1"/>
  </cols>
  <sheetData>
    <row r="1" spans="1:14" ht="1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30" customHeight="1" thickBot="1" thickTop="1">
      <c r="A4" s="149" t="s">
        <v>120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6" ht="18" customHeight="1" thickBot="1" thickTop="1">
      <c r="A5" s="11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79"/>
      <c r="P5" s="79"/>
    </row>
    <row r="6" spans="1:21" ht="18" customHeight="1" thickTop="1">
      <c r="A6" s="154"/>
      <c r="B6" s="157" t="s">
        <v>100</v>
      </c>
      <c r="C6" s="219" t="s">
        <v>101</v>
      </c>
      <c r="D6" s="146" t="s">
        <v>102</v>
      </c>
      <c r="E6" s="160" t="s">
        <v>104</v>
      </c>
      <c r="F6" s="266" t="s">
        <v>105</v>
      </c>
      <c r="G6" s="263" t="s">
        <v>106</v>
      </c>
      <c r="H6" s="266" t="s">
        <v>108</v>
      </c>
      <c r="I6" s="263" t="s">
        <v>109</v>
      </c>
      <c r="J6" s="266" t="s">
        <v>107</v>
      </c>
      <c r="K6" s="263" t="s">
        <v>115</v>
      </c>
      <c r="L6" s="269" t="s">
        <v>116</v>
      </c>
      <c r="M6" s="216" t="s">
        <v>117</v>
      </c>
      <c r="N6" s="177" t="s">
        <v>118</v>
      </c>
      <c r="O6" s="80"/>
      <c r="P6" s="80"/>
      <c r="Q6" s="80"/>
      <c r="R6" s="80"/>
      <c r="S6" s="80"/>
      <c r="T6" s="80"/>
      <c r="U6" s="80"/>
    </row>
    <row r="7" spans="1:21" ht="18" customHeight="1">
      <c r="A7" s="155"/>
      <c r="B7" s="158"/>
      <c r="C7" s="220"/>
      <c r="D7" s="147"/>
      <c r="E7" s="161"/>
      <c r="F7" s="267"/>
      <c r="G7" s="264"/>
      <c r="H7" s="267"/>
      <c r="I7" s="264"/>
      <c r="J7" s="267"/>
      <c r="K7" s="264"/>
      <c r="L7" s="270"/>
      <c r="M7" s="217"/>
      <c r="N7" s="178"/>
      <c r="O7" s="80"/>
      <c r="P7" s="80"/>
      <c r="Q7" s="80"/>
      <c r="R7" s="80"/>
      <c r="S7" s="80"/>
      <c r="T7" s="80"/>
      <c r="U7" s="80"/>
    </row>
    <row r="8" spans="1:21" ht="18" customHeight="1">
      <c r="A8" s="155"/>
      <c r="B8" s="158"/>
      <c r="C8" s="220"/>
      <c r="D8" s="147"/>
      <c r="E8" s="161"/>
      <c r="F8" s="267"/>
      <c r="G8" s="264"/>
      <c r="H8" s="267"/>
      <c r="I8" s="264"/>
      <c r="J8" s="267"/>
      <c r="K8" s="264"/>
      <c r="L8" s="270"/>
      <c r="M8" s="217"/>
      <c r="N8" s="178"/>
      <c r="O8" s="80"/>
      <c r="P8" s="80"/>
      <c r="Q8" s="80"/>
      <c r="R8" s="80"/>
      <c r="S8" s="80"/>
      <c r="T8" s="80"/>
      <c r="U8" s="80"/>
    </row>
    <row r="9" spans="1:21" ht="18" customHeight="1">
      <c r="A9" s="155"/>
      <c r="B9" s="158"/>
      <c r="C9" s="220"/>
      <c r="D9" s="147"/>
      <c r="E9" s="161"/>
      <c r="F9" s="267"/>
      <c r="G9" s="264"/>
      <c r="H9" s="267"/>
      <c r="I9" s="264"/>
      <c r="J9" s="267"/>
      <c r="K9" s="264"/>
      <c r="L9" s="270"/>
      <c r="M9" s="217"/>
      <c r="N9" s="178"/>
      <c r="O9" s="80"/>
      <c r="P9" s="80"/>
      <c r="Q9" s="80"/>
      <c r="R9" s="80"/>
      <c r="S9" s="80"/>
      <c r="T9" s="80"/>
      <c r="U9" s="80"/>
    </row>
    <row r="10" spans="1:21" ht="18" customHeight="1" thickBot="1">
      <c r="A10" s="156"/>
      <c r="B10" s="159"/>
      <c r="C10" s="221"/>
      <c r="D10" s="148"/>
      <c r="E10" s="162"/>
      <c r="F10" s="268"/>
      <c r="G10" s="265"/>
      <c r="H10" s="268"/>
      <c r="I10" s="265"/>
      <c r="J10" s="268"/>
      <c r="K10" s="265"/>
      <c r="L10" s="271"/>
      <c r="M10" s="218"/>
      <c r="N10" s="179"/>
      <c r="O10" s="80"/>
      <c r="P10" s="80"/>
      <c r="Q10" s="80"/>
      <c r="R10" s="80"/>
      <c r="S10" s="80"/>
      <c r="T10" s="80"/>
      <c r="U10" s="80"/>
    </row>
    <row r="11" spans="1:21" ht="18" customHeight="1" thickTop="1">
      <c r="A11" s="101"/>
      <c r="B11" s="166" t="s">
        <v>110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80"/>
      <c r="P11" s="80"/>
      <c r="Q11" s="80"/>
      <c r="R11" s="80"/>
      <c r="S11" s="80"/>
      <c r="T11" s="80"/>
      <c r="U11" s="80"/>
    </row>
    <row r="12" spans="1:16" ht="15" customHeight="1">
      <c r="A12" s="86">
        <v>1872</v>
      </c>
      <c r="B12" s="96">
        <f>1-E12-N12</f>
        <v>0.41544203539823</v>
      </c>
      <c r="C12" s="88">
        <f>B12-D12</f>
        <v>0.28544203539823</v>
      </c>
      <c r="D12" s="97">
        <v>0.13</v>
      </c>
      <c r="E12" s="87">
        <f>'DetailsTS10.4(1)'!E13/(1+'DetailsTS10.4(2)'!$D12)</f>
        <v>0.5609370796460178</v>
      </c>
      <c r="F12" s="98">
        <f>'DetailsTS10.4(1)'!F13/(1+'DetailsTS10.4(2)'!$D12)</f>
        <v>0.1537612389380531</v>
      </c>
      <c r="G12" s="99">
        <f>'DetailsTS10.4(1)'!G13/(1+'DetailsTS10.4(2)'!$D12)</f>
        <v>0.011419557522123895</v>
      </c>
      <c r="H12" s="89">
        <f>'DetailsTS10.4(1)'!H13/(1+'DetailsTS10.4(2)'!$D12)</f>
        <v>0.1881161946902655</v>
      </c>
      <c r="I12" s="88">
        <f>'DetailsTS10.4(1)'!I13/(1+'DetailsTS10.4(2)'!$D12)</f>
        <v>0.01658203539823009</v>
      </c>
      <c r="J12" s="98">
        <f>'DetailsTS10.4(1)'!J13/(1+'DetailsTS10.4(2)'!$D12)</f>
        <v>0.12981805309734515</v>
      </c>
      <c r="K12" s="99">
        <f>'DetailsTS10.4(1)'!K13/(1+'DetailsTS10.4(2)'!$D12)</f>
        <v>0.03454398230088496</v>
      </c>
      <c r="L12" s="100">
        <f>'DetailsTS10.4(1)'!L13/(1+'DetailsTS10.4(2)'!$D12)</f>
        <v>0.08924159292035398</v>
      </c>
      <c r="M12" s="90">
        <f>'DetailsTS10.4(1)'!M13/(1+'DetailsTS10.4(2)'!$D12)</f>
        <v>0.06254557522123895</v>
      </c>
      <c r="N12" s="102">
        <f>'DetailsTS10.4(1)'!N13/(1+'DetailsTS10.4(2)'!$D12)</f>
        <v>0.023620884955752215</v>
      </c>
      <c r="O12" s="91"/>
      <c r="P12" s="91"/>
    </row>
    <row r="13" spans="1:16" ht="15" customHeight="1">
      <c r="A13" s="86">
        <v>1882</v>
      </c>
      <c r="B13" s="96">
        <f>1-E13-N13</f>
        <v>0.41079963963963967</v>
      </c>
      <c r="C13" s="88">
        <f>B13-D13</f>
        <v>0.3007996396396397</v>
      </c>
      <c r="D13" s="97">
        <v>0.11</v>
      </c>
      <c r="E13" s="87">
        <f>'DetailsTS10.4(1)'!E14/(1+'DetailsTS10.4(2)'!$D13)</f>
        <v>0.5679182882882883</v>
      </c>
      <c r="F13" s="98">
        <f>'DetailsTS10.4(1)'!F14/(1+'DetailsTS10.4(2)'!$D13)</f>
        <v>0.15868414414414414</v>
      </c>
      <c r="G13" s="99">
        <f>'DetailsTS10.4(1)'!G14/(1+'DetailsTS10.4(2)'!$D13)</f>
        <v>0.01771099099099099</v>
      </c>
      <c r="H13" s="89">
        <f>'DetailsTS10.4(1)'!H14/(1+'DetailsTS10.4(2)'!$D13)</f>
        <v>0.18553639639639638</v>
      </c>
      <c r="I13" s="88">
        <f>'DetailsTS10.4(1)'!I14/(1+'DetailsTS10.4(2)'!$D13)</f>
        <v>0.022340270270270267</v>
      </c>
      <c r="J13" s="98">
        <f>'DetailsTS10.4(1)'!J14/(1+'DetailsTS10.4(2)'!$D13)</f>
        <v>0.14801639639639638</v>
      </c>
      <c r="K13" s="99">
        <f>'DetailsTS10.4(1)'!K14/(1+'DetailsTS10.4(2)'!$D13)</f>
        <v>0.030488558558558556</v>
      </c>
      <c r="L13" s="100">
        <f>'DetailsTS10.4(1)'!L14/(1+'DetailsTS10.4(2)'!$D13)</f>
        <v>0.07568135135135134</v>
      </c>
      <c r="M13" s="90">
        <f>'DetailsTS10.4(1)'!M14/(1+'DetailsTS10.4(2)'!$D13)</f>
        <v>0.07053981981981981</v>
      </c>
      <c r="N13" s="102">
        <f>'DetailsTS10.4(1)'!N14/(1+'DetailsTS10.4(2)'!$D13)</f>
        <v>0.02128207207207207</v>
      </c>
      <c r="O13" s="91"/>
      <c r="P13" s="91"/>
    </row>
    <row r="14" spans="1:16" ht="18" customHeight="1" thickBot="1">
      <c r="A14" s="103">
        <v>1912</v>
      </c>
      <c r="B14" s="104">
        <v>0.3570394</v>
      </c>
      <c r="C14" s="105">
        <v>0.2458059</v>
      </c>
      <c r="D14" s="106">
        <v>0.1112335</v>
      </c>
      <c r="E14" s="107">
        <v>0.6152886</v>
      </c>
      <c r="F14" s="108">
        <v>0.2019995</v>
      </c>
      <c r="G14" s="109">
        <v>0.0664669</v>
      </c>
      <c r="H14" s="110">
        <v>0.1850549</v>
      </c>
      <c r="I14" s="105">
        <v>0.0457287</v>
      </c>
      <c r="J14" s="108">
        <v>0.1421421</v>
      </c>
      <c r="K14" s="109">
        <v>0.088534</v>
      </c>
      <c r="L14" s="111">
        <v>0.0860921</v>
      </c>
      <c r="M14" s="112">
        <f>G14+I14+K14</f>
        <v>0.2007296</v>
      </c>
      <c r="N14" s="113">
        <v>0.027672</v>
      </c>
      <c r="O14" s="91"/>
      <c r="P14" s="91"/>
    </row>
    <row r="15" spans="1:14" ht="15" thickTop="1">
      <c r="A15" s="101"/>
      <c r="B15" s="166" t="s">
        <v>111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1:14" ht="15">
      <c r="A16" s="86">
        <v>1872</v>
      </c>
      <c r="B16" s="96">
        <f>1-E16-N16</f>
        <v>0.4335156637168141</v>
      </c>
      <c r="C16" s="88">
        <f>B16-D16</f>
        <v>0.3035156637168141</v>
      </c>
      <c r="D16" s="97">
        <v>0.13</v>
      </c>
      <c r="E16" s="87">
        <f>'DetailsTS10.4(1)'!E19/(1+'DetailsTS10.4(2)'!$D16)</f>
        <v>0.5489010619469027</v>
      </c>
      <c r="F16" s="98">
        <f>'DetailsTS10.4(1)'!F19/(1+'DetailsTS10.4(2)'!$D16)</f>
        <v>0.16345336283185843</v>
      </c>
      <c r="G16" s="99">
        <f>'DetailsTS10.4(1)'!G19/(1+'DetailsTS10.4(2)'!$D16)</f>
        <v>0.013867876106194691</v>
      </c>
      <c r="H16" s="89">
        <f>'DetailsTS10.4(1)'!H19/(1+'DetailsTS10.4(2)'!$D16)</f>
        <v>0.15584530973451327</v>
      </c>
      <c r="I16" s="88">
        <f>'DetailsTS10.4(1)'!I19/(1+'DetailsTS10.4(2)'!$D16)</f>
        <v>0.019679469026548674</v>
      </c>
      <c r="J16" s="98">
        <f>'DetailsTS10.4(1)'!J19/(1+'DetailsTS10.4(2)'!$D16)</f>
        <v>0.12672247787610622</v>
      </c>
      <c r="K16" s="99">
        <f>'DetailsTS10.4(1)'!K19/(1+'DetailsTS10.4(2)'!$D16)</f>
        <v>0.042391504424778764</v>
      </c>
      <c r="L16" s="100">
        <f>'DetailsTS10.4(1)'!L19/(1+'DetailsTS10.4(2)'!$D16)</f>
        <v>0.1028799115044248</v>
      </c>
      <c r="M16" s="90">
        <f>'DetailsTS10.4(1)'!M19/(1+'DetailsTS10.4(2)'!$D16)</f>
        <v>0.07593884955752213</v>
      </c>
      <c r="N16" s="102">
        <f>'DetailsTS10.4(1)'!N19/(1+'DetailsTS10.4(2)'!$D16)</f>
        <v>0.017583274336283188</v>
      </c>
    </row>
    <row r="17" spans="1:14" ht="15">
      <c r="A17" s="86">
        <v>1882</v>
      </c>
      <c r="B17" s="96">
        <f>1-E17-N17</f>
        <v>0.40604818181818186</v>
      </c>
      <c r="C17" s="88">
        <f>B17-D17</f>
        <v>0.30604818181818183</v>
      </c>
      <c r="D17" s="97">
        <v>0.1</v>
      </c>
      <c r="E17" s="87">
        <f>'DetailsTS10.4(1)'!E20/(1+'DetailsTS10.4(2)'!$D17)</f>
        <v>0.5800746363636363</v>
      </c>
      <c r="F17" s="98">
        <f>'DetailsTS10.4(1)'!F20/(1+'DetailsTS10.4(2)'!$D17)</f>
        <v>0.17185554545454543</v>
      </c>
      <c r="G17" s="99">
        <f>'DetailsTS10.4(1)'!G20/(1+'DetailsTS10.4(2)'!$D17)</f>
        <v>0.02173872727272727</v>
      </c>
      <c r="H17" s="89">
        <f>'DetailsTS10.4(1)'!H20/(1+'DetailsTS10.4(2)'!$D17)</f>
        <v>0.17184945454545453</v>
      </c>
      <c r="I17" s="88">
        <f>'DetailsTS10.4(1)'!I20/(1+'DetailsTS10.4(2)'!$D17)</f>
        <v>0.025025090909090907</v>
      </c>
      <c r="J17" s="98">
        <f>'DetailsTS10.4(1)'!J20/(1+'DetailsTS10.4(2)'!$D17)</f>
        <v>0.16178363636363635</v>
      </c>
      <c r="K17" s="99">
        <f>'DetailsTS10.4(1)'!K20/(1+'DetailsTS10.4(2)'!$D17)</f>
        <v>0.03979136363636363</v>
      </c>
      <c r="L17" s="100">
        <f>'DetailsTS10.4(1)'!L20/(1+'DetailsTS10.4(2)'!$D17)</f>
        <v>0.07458609090909091</v>
      </c>
      <c r="M17" s="90">
        <f>'DetailsTS10.4(1)'!M20/(1+'DetailsTS10.4(2)'!$D17)</f>
        <v>0.08655518181818181</v>
      </c>
      <c r="N17" s="102">
        <f>'DetailsTS10.4(1)'!N20/(1+'DetailsTS10.4(2)'!$D17)</f>
        <v>0.013877181818181816</v>
      </c>
    </row>
    <row r="18" spans="1:14" ht="15.75" thickBot="1">
      <c r="A18" s="103">
        <v>1912</v>
      </c>
      <c r="B18" s="104">
        <v>0.3247803</v>
      </c>
      <c r="C18" s="105">
        <v>0.2211604</v>
      </c>
      <c r="D18" s="106">
        <v>0.10362</v>
      </c>
      <c r="E18" s="107">
        <v>0.6538293</v>
      </c>
      <c r="F18" s="108">
        <v>0.2430957</v>
      </c>
      <c r="G18" s="109">
        <v>0.0934746</v>
      </c>
      <c r="H18" s="110">
        <v>0.1908742</v>
      </c>
      <c r="I18" s="105">
        <v>0.0519179</v>
      </c>
      <c r="J18" s="108">
        <v>0.1376101</v>
      </c>
      <c r="K18" s="109">
        <v>0.0956097</v>
      </c>
      <c r="L18" s="111">
        <v>0.0822494</v>
      </c>
      <c r="M18" s="112">
        <f>G18+I18+K18</f>
        <v>0.2410022</v>
      </c>
      <c r="N18" s="113">
        <v>0.0213904</v>
      </c>
    </row>
    <row r="19" spans="1:14" ht="15" thickTop="1">
      <c r="A19" s="101"/>
      <c r="B19" s="166" t="s">
        <v>112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</row>
    <row r="20" spans="1:14" ht="15">
      <c r="A20" s="86">
        <v>1872</v>
      </c>
      <c r="B20" s="96">
        <f>1-E20-N20</f>
        <v>0.42041686956521734</v>
      </c>
      <c r="C20" s="88">
        <f>B20-D20</f>
        <v>0.2704168695652174</v>
      </c>
      <c r="D20" s="97">
        <v>0.15</v>
      </c>
      <c r="E20" s="87">
        <f>'DetailsTS10.4(1)'!E24/(1+'DetailsTS10.4(2)'!$D20)</f>
        <v>0.5561322608695652</v>
      </c>
      <c r="F20" s="98">
        <f>'DetailsTS10.4(1)'!F24/(1+'DetailsTS10.4(2)'!$D20)</f>
        <v>0.13950434782608695</v>
      </c>
      <c r="G20" s="99">
        <f>'DetailsTS10.4(1)'!G24/(1+'DetailsTS10.4(2)'!$D20)</f>
        <v>0.008394869565217393</v>
      </c>
      <c r="H20" s="89">
        <f>'DetailsTS10.4(1)'!H24/(1+'DetailsTS10.4(2)'!$D20)</f>
        <v>0.22006956521739135</v>
      </c>
      <c r="I20" s="88">
        <f>'DetailsTS10.4(1)'!I24/(1+'DetailsTS10.4(2)'!$D20)</f>
        <v>0.012674347826086958</v>
      </c>
      <c r="J20" s="98">
        <f>'DetailsTS10.4(1)'!J24/(1+'DetailsTS10.4(2)'!$D20)</f>
        <v>0.12762382608695652</v>
      </c>
      <c r="K20" s="99">
        <f>'DetailsTS10.4(1)'!K24/(1+'DetailsTS10.4(2)'!$D20)</f>
        <v>0.024610608695652174</v>
      </c>
      <c r="L20" s="100">
        <f>'DetailsTS10.4(1)'!L24/(1+'DetailsTS10.4(2)'!$D20)</f>
        <v>0.06893452173913045</v>
      </c>
      <c r="M20" s="90">
        <f>'DetailsTS10.4(1)'!M24/(1+'DetailsTS10.4(2)'!$D20)</f>
        <v>0.045679826086956525</v>
      </c>
      <c r="N20" s="102">
        <f>'DetailsTS10.4(1)'!N24/(1+'DetailsTS10.4(2)'!$D20)</f>
        <v>0.023450869565217393</v>
      </c>
    </row>
    <row r="21" spans="1:14" ht="15">
      <c r="A21" s="86">
        <v>1882</v>
      </c>
      <c r="B21" s="96">
        <f>1-E21-N21</f>
        <v>0.42961678571428574</v>
      </c>
      <c r="C21" s="88">
        <f>B21-D21</f>
        <v>0.30961678571428575</v>
      </c>
      <c r="D21" s="97">
        <v>0.12</v>
      </c>
      <c r="E21" s="87">
        <f>'DetailsTS10.4(1)'!E25/(1+'DetailsTS10.4(2)'!$D21)</f>
        <v>0.5448909821428571</v>
      </c>
      <c r="F21" s="98">
        <f>'DetailsTS10.4(1)'!F25/(1+'DetailsTS10.4(2)'!$D21)</f>
        <v>0.1396491964285714</v>
      </c>
      <c r="G21" s="99">
        <f>'DetailsTS10.4(1)'!G25/(1+'DetailsTS10.4(2)'!$D21)</f>
        <v>0.013105714285714285</v>
      </c>
      <c r="H21" s="89">
        <f>'DetailsTS10.4(1)'!H25/(1+'DetailsTS10.4(2)'!$D21)</f>
        <v>0.20278937499999997</v>
      </c>
      <c r="I21" s="88">
        <f>'DetailsTS10.4(1)'!I25/(1+'DetailsTS10.4(2)'!$D21)</f>
        <v>0.019586964285714284</v>
      </c>
      <c r="J21" s="98">
        <f>'DetailsTS10.4(1)'!J25/(1+'DetailsTS10.4(2)'!$D21)</f>
        <v>0.12819892857142856</v>
      </c>
      <c r="K21" s="99">
        <f>'DetailsTS10.4(1)'!K25/(1+'DetailsTS10.4(2)'!$D21)</f>
        <v>0.018859821428571427</v>
      </c>
      <c r="L21" s="100">
        <f>'DetailsTS10.4(1)'!L25/(1+'DetailsTS10.4(2)'!$D21)</f>
        <v>0.07425348214285714</v>
      </c>
      <c r="M21" s="90">
        <f>'DetailsTS10.4(1)'!M25/(1+'DetailsTS10.4(2)'!$D21)</f>
        <v>0.05155249999999999</v>
      </c>
      <c r="N21" s="102">
        <f>'DetailsTS10.4(1)'!N25/(1+'DetailsTS10.4(2)'!$D21)</f>
        <v>0.025492232142857143</v>
      </c>
    </row>
    <row r="22" spans="1:14" ht="15.75" thickBot="1">
      <c r="A22" s="103">
        <v>1912</v>
      </c>
      <c r="B22" s="104">
        <v>0.412484</v>
      </c>
      <c r="C22" s="105">
        <v>0.2962541</v>
      </c>
      <c r="D22" s="106">
        <v>0.1162298</v>
      </c>
      <c r="E22" s="107">
        <v>0.5538484</v>
      </c>
      <c r="F22" s="108">
        <v>0.1389242</v>
      </c>
      <c r="G22" s="109">
        <v>0.0254774</v>
      </c>
      <c r="H22" s="110">
        <v>0.1778154</v>
      </c>
      <c r="I22" s="105">
        <v>0.0370492</v>
      </c>
      <c r="J22" s="108">
        <v>0.1497871</v>
      </c>
      <c r="K22" s="109">
        <v>0.0799601</v>
      </c>
      <c r="L22" s="111">
        <v>0.0873218</v>
      </c>
      <c r="M22" s="112">
        <f>G22+I22+K22</f>
        <v>0.14248670000000002</v>
      </c>
      <c r="N22" s="113">
        <v>0.0336676</v>
      </c>
    </row>
    <row r="23" spans="1:14" ht="15" thickTop="1">
      <c r="A23" s="101"/>
      <c r="B23" s="166" t="s">
        <v>113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4" ht="15">
      <c r="A24" s="86">
        <v>1872</v>
      </c>
      <c r="B24" s="96">
        <f>1-E24-N24</f>
        <v>0.2685246031746032</v>
      </c>
      <c r="C24" s="88">
        <f>B24-D24</f>
        <v>0.008524603174603185</v>
      </c>
      <c r="D24" s="97">
        <v>0.26</v>
      </c>
      <c r="E24" s="87">
        <f>'DetailsTS10.4(1)'!E29/(1+'DetailsTS10.4(2)'!$D24)</f>
        <v>0.6242281746031746</v>
      </c>
      <c r="F24" s="98">
        <f>'DetailsTS10.4(1)'!F29/(1+'DetailsTS10.4(2)'!$D24)</f>
        <v>0.12596809523809524</v>
      </c>
      <c r="G24" s="99">
        <f>'DetailsTS10.4(1)'!G29/(1+'DetailsTS10.4(2)'!$D24)</f>
        <v>0.006103571428571429</v>
      </c>
      <c r="H24" s="89">
        <f>'DetailsTS10.4(1)'!H29/(1+'DetailsTS10.4(2)'!$D24)</f>
        <v>0.24609198412698413</v>
      </c>
      <c r="I24" s="88">
        <f>'DetailsTS10.4(1)'!I29/(1+'DetailsTS10.4(2)'!$D24)</f>
        <v>0.010131111111111112</v>
      </c>
      <c r="J24" s="98">
        <f>'DetailsTS10.4(1)'!J29/(1+'DetailsTS10.4(2)'!$D24)</f>
        <v>0.1612269841269841</v>
      </c>
      <c r="K24" s="99">
        <f>'DetailsTS10.4(1)'!K29/(1+'DetailsTS10.4(2)'!$D24)</f>
        <v>0.020804603174603174</v>
      </c>
      <c r="L24" s="100">
        <f>'DetailsTS10.4(1)'!L29/(1+'DetailsTS10.4(2)'!$D24)</f>
        <v>0.09094111111111111</v>
      </c>
      <c r="M24" s="90">
        <f>'DetailsTS10.4(1)'!M29/(1+'DetailsTS10.4(2)'!$D24)</f>
        <v>0.03703928571428572</v>
      </c>
      <c r="N24" s="102">
        <f>'DetailsTS10.4(1)'!N29/(1+'DetailsTS10.4(2)'!$D24)</f>
        <v>0.10724722222222222</v>
      </c>
    </row>
    <row r="25" spans="1:14" ht="15">
      <c r="A25" s="86">
        <v>1882</v>
      </c>
      <c r="B25" s="96">
        <f>1-E25-N25</f>
        <v>0.2815318253968254</v>
      </c>
      <c r="C25" s="88">
        <f>B25-D25</f>
        <v>0.02153182539682541</v>
      </c>
      <c r="D25" s="97">
        <v>0.26</v>
      </c>
      <c r="E25" s="87">
        <f>'DetailsTS10.4(1)'!E30/(1+'DetailsTS10.4(2)'!$D25)</f>
        <v>0.6155725396825397</v>
      </c>
      <c r="F25" s="98">
        <f>'DetailsTS10.4(1)'!F30/(1+'DetailsTS10.4(2)'!$D25)</f>
        <v>0.1599238888888889</v>
      </c>
      <c r="G25" s="99">
        <f>'DetailsTS10.4(1)'!G30/(1+'DetailsTS10.4(2)'!$D25)</f>
        <v>0.0033788888888888887</v>
      </c>
      <c r="H25" s="89">
        <f>'DetailsTS10.4(1)'!H30/(1+'DetailsTS10.4(2)'!$D25)</f>
        <v>0.1950361111111111</v>
      </c>
      <c r="I25" s="88">
        <f>'DetailsTS10.4(1)'!I30/(1+'DetailsTS10.4(2)'!$D25)</f>
        <v>0.007671746031746032</v>
      </c>
      <c r="J25" s="98">
        <f>'DetailsTS10.4(1)'!J30/(1+'DetailsTS10.4(2)'!$D25)</f>
        <v>0.14945936507936508</v>
      </c>
      <c r="K25" s="99">
        <f>'DetailsTS10.4(1)'!K30/(1+'DetailsTS10.4(2)'!$D25)</f>
        <v>0.011849603174603174</v>
      </c>
      <c r="L25" s="100">
        <f>'DetailsTS10.4(1)'!L30/(1+'DetailsTS10.4(2)'!$D25)</f>
        <v>0.11115317460317459</v>
      </c>
      <c r="M25" s="90">
        <f>'DetailsTS10.4(1)'!M30/(1+'DetailsTS10.4(2)'!$D25)</f>
        <v>0.022900238095238095</v>
      </c>
      <c r="N25" s="102">
        <f>'DetailsTS10.4(1)'!N30/(1+'DetailsTS10.4(2)'!$D25)</f>
        <v>0.10289563492063492</v>
      </c>
    </row>
    <row r="26" spans="1:14" ht="15.75" thickBot="1">
      <c r="A26" s="103">
        <v>1912</v>
      </c>
      <c r="B26" s="104">
        <v>0.3131449</v>
      </c>
      <c r="C26" s="105">
        <v>0.0699271</v>
      </c>
      <c r="D26" s="106">
        <v>0.2432178</v>
      </c>
      <c r="E26" s="107">
        <v>0.5832533</v>
      </c>
      <c r="F26" s="108">
        <v>0.1249325</v>
      </c>
      <c r="G26" s="109">
        <v>0.0076793</v>
      </c>
      <c r="H26" s="110">
        <v>0.1443677</v>
      </c>
      <c r="I26" s="105">
        <v>0.0196955</v>
      </c>
      <c r="J26" s="108">
        <v>0.1385132</v>
      </c>
      <c r="K26" s="109">
        <v>0.0350369</v>
      </c>
      <c r="L26" s="111">
        <v>0.17543999999999998</v>
      </c>
      <c r="M26" s="112">
        <f>G26+I26+K26</f>
        <v>0.0624117</v>
      </c>
      <c r="N26" s="113">
        <v>0.1036018</v>
      </c>
    </row>
    <row r="27" spans="1:14" ht="15.75" thickBot="1" thickTop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5" thickTop="1">
      <c r="A28" s="168" t="s">
        <v>114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</row>
    <row r="29" spans="1:14" ht="15" thickBo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</row>
    <row r="30" ht="15" thickTop="1"/>
  </sheetData>
  <sheetProtection/>
  <mergeCells count="21">
    <mergeCell ref="D6:D10"/>
    <mergeCell ref="A28:N29"/>
    <mergeCell ref="B11:N11"/>
    <mergeCell ref="B15:N15"/>
    <mergeCell ref="M6:M10"/>
    <mergeCell ref="H6:H10"/>
    <mergeCell ref="A4:N4"/>
    <mergeCell ref="B5:N5"/>
    <mergeCell ref="A6:A10"/>
    <mergeCell ref="B6:B10"/>
    <mergeCell ref="E6:E10"/>
    <mergeCell ref="N6:N10"/>
    <mergeCell ref="I6:I10"/>
    <mergeCell ref="J6:J10"/>
    <mergeCell ref="F6:F10"/>
    <mergeCell ref="B19:N19"/>
    <mergeCell ref="B23:N23"/>
    <mergeCell ref="K6:K10"/>
    <mergeCell ref="G6:G10"/>
    <mergeCell ref="L6:L10"/>
    <mergeCell ref="C6:C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2013-07-23T16:30:00Z</cp:lastPrinted>
  <dcterms:created xsi:type="dcterms:W3CDTF">2013-03-02T11:09:49Z</dcterms:created>
  <dcterms:modified xsi:type="dcterms:W3CDTF">2013-07-30T13:40:23Z</dcterms:modified>
  <cp:category/>
  <cp:version/>
  <cp:contentType/>
  <cp:contentStatus/>
</cp:coreProperties>
</file>