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firstSheet="3" activeTab="4"/>
  </bookViews>
  <sheets>
    <sheet name="Res1807-1913" sheetId="1" r:id="rId1"/>
    <sheet name="Paris&gt;&gt;France" sheetId="2" r:id="rId2"/>
    <sheet name="NoblesFemmesAges18071902" sheetId="3" r:id="rId3"/>
    <sheet name="EstateMultiplier18171902" sheetId="4" r:id="rId4"/>
    <sheet name="EstMultiplier18071902 (May2005)" sheetId="5" r:id="rId5"/>
    <sheet name="avecparts vs sspart 1827-1867" sheetId="6" r:id="rId6"/>
    <sheet name="Seine vs Paris (1902)" sheetId="7" r:id="rId7"/>
    <sheet name="Res1902-1913 " sheetId="8" r:id="rId8"/>
    <sheet name="Extrapol1902-1913" sheetId="9" r:id="rId9"/>
    <sheet name="Data1902-1913" sheetId="10" r:id="rId10"/>
    <sheet name="DataAgreg18071913(Inutile)" sheetId="11" r:id="rId11"/>
    <sheet name="Res1847-1907(vieux)" sheetId="12" r:id="rId12"/>
  </sheets>
  <definedNames/>
  <calcPr fullCalcOnLoad="1"/>
</workbook>
</file>

<file path=xl/sharedStrings.xml><?xml version="1.0" encoding="utf-8"?>
<sst xmlns="http://schemas.openxmlformats.org/spreadsheetml/2006/main" count="2578" uniqueCount="524">
  <si>
    <t>80-89</t>
  </si>
  <si>
    <t>(BSLC juin 1903, Tome 53, p.811)</t>
  </si>
  <si>
    <t>("Classement des successions d'après l'importance de leur actif net")</t>
  </si>
  <si>
    <t>"Importance des successions"</t>
  </si>
  <si>
    <t>"Nombre de successions par catégorie"</t>
  </si>
  <si>
    <t>"Montant total des successions par catégories"</t>
  </si>
  <si>
    <t>%</t>
  </si>
  <si>
    <t>smoy/sinf</t>
  </si>
  <si>
    <t>a</t>
  </si>
  <si>
    <t>k</t>
  </si>
  <si>
    <t>niveaux</t>
  </si>
  <si>
    <t>P90</t>
  </si>
  <si>
    <t>P95</t>
  </si>
  <si>
    <t>P99</t>
  </si>
  <si>
    <t>P99,5</t>
  </si>
  <si>
    <t>P99,9</t>
  </si>
  <si>
    <t>P99,99</t>
  </si>
  <si>
    <t>seuils:</t>
  </si>
  <si>
    <t>Total</t>
  </si>
  <si>
    <t>à retenir</t>
  </si>
  <si>
    <t>tot-somme</t>
  </si>
  <si>
    <t>(BSLC juin 1904, Tome 55, p.707)</t>
  </si>
  <si>
    <t>(BSLC août 1905, Tome 58, p.197)</t>
  </si>
  <si>
    <t>(BSLC octobre 1908, tome 64, p.331)</t>
  </si>
  <si>
    <t>(BSLC novembre 1910, tome 68, p.495)</t>
  </si>
  <si>
    <t>(BSLC décembre 1911, tome 70, p.673)</t>
  </si>
  <si>
    <t>(BSLC décembre 1912, tome 72, p.643)</t>
  </si>
  <si>
    <t>(BSLC décembre 1913, tome 74, p.703)</t>
  </si>
  <si>
    <t>(BSLC mars 1915, tome 77, p.287)</t>
  </si>
  <si>
    <t>N.décès</t>
  </si>
  <si>
    <t>N.décès 20+</t>
  </si>
  <si>
    <t>An.Succes.</t>
  </si>
  <si>
    <t>Succ.Moy.</t>
  </si>
  <si>
    <t>1847 (Paris)</t>
  </si>
  <si>
    <t>1905 (Paris)</t>
  </si>
  <si>
    <t>1905/1807</t>
  </si>
  <si>
    <t>1904 (Paris)</t>
  </si>
  <si>
    <t>1847 (France)</t>
  </si>
  <si>
    <t>1905 (France)</t>
  </si>
  <si>
    <t>(18/12/2001)</t>
  </si>
  <si>
    <t>Comparaison des extrapolations pour 1847 et 1902-1913</t>
  </si>
  <si>
    <t>1. Comparaisons au niveau agrégé</t>
  </si>
  <si>
    <t>(sources pour la démographie: 1847: ASVP 1904 pp.1074-1077; 1907: AR 1966 pp.66-69 pour le nombre total de décès, et application des proportions de Paris pour passer aux décès de 20 ans et +)</t>
  </si>
  <si>
    <t>N.Succes.&gt;0</t>
  </si>
  <si>
    <t>&gt;&gt;&gt; la succession moyenne a progressé beaucoup plus vite à Paris que pour le reste de la France, ce qui</t>
  </si>
  <si>
    <t>peut s'expliquer notamment par une très forte progression de la proportiion des décès donnant lieu à</t>
  </si>
  <si>
    <t>une succession positive</t>
  </si>
  <si>
    <t>2. Comparaisons des fractiles de hautes successions</t>
  </si>
  <si>
    <t>Extrapolations des top10%, top1% successions à Paris 1902-1913</t>
  </si>
  <si>
    <t>P80</t>
  </si>
  <si>
    <t>P80-100</t>
  </si>
  <si>
    <t>P90-100</t>
  </si>
  <si>
    <t>P95-100</t>
  </si>
  <si>
    <t>P99-100</t>
  </si>
  <si>
    <t>P99,5-100</t>
  </si>
  <si>
    <t>P99,9-100</t>
  </si>
  <si>
    <t>P99,99-100</t>
  </si>
  <si>
    <t>1905/1847</t>
  </si>
  <si>
    <t>%Mobilier</t>
  </si>
  <si>
    <t>%Immobilier</t>
  </si>
  <si>
    <t>Comp1847</t>
  </si>
  <si>
    <t>P0-100</t>
  </si>
  <si>
    <t>P0-80</t>
  </si>
  <si>
    <t>P80-90</t>
  </si>
  <si>
    <t>P90-95</t>
  </si>
  <si>
    <t>P95-99</t>
  </si>
  <si>
    <t>P99-99,5</t>
  </si>
  <si>
    <t>P99,5-99,9</t>
  </si>
  <si>
    <t>P99,9-99,99</t>
  </si>
  <si>
    <t>(francs)</t>
  </si>
  <si>
    <t>(%)</t>
  </si>
  <si>
    <t>(tout cela est bon à jeter: j'avais utilisé les décès de Paris au lieu des décès de la Seine pour 1905)</t>
  </si>
  <si>
    <t>(feuille inutile)</t>
  </si>
  <si>
    <t>(29/1/2002)</t>
  </si>
  <si>
    <t>1902-1913</t>
  </si>
  <si>
    <t>N.déclarations</t>
  </si>
  <si>
    <t>Ann.Succ.</t>
  </si>
  <si>
    <t>N.décès20+</t>
  </si>
  <si>
    <t>Paris (sauf 1902-1913 = Seine)</t>
  </si>
  <si>
    <t>France entière</t>
  </si>
  <si>
    <t>Résultats des extrapolations, 1791-1913</t>
  </si>
  <si>
    <t>1. Séries aggrégées, Paris vs. France entière</t>
  </si>
  <si>
    <t>2. Séries parisiennes par fractiles</t>
  </si>
  <si>
    <t>???</t>
  </si>
  <si>
    <t>seuils</t>
  </si>
  <si>
    <t>parts</t>
  </si>
  <si>
    <t>ratio/P90</t>
  </si>
  <si>
    <t>Paris/France</t>
  </si>
  <si>
    <t>% Paris/France</t>
  </si>
  <si>
    <t>France entière sauf Paris (sauf 1902-1913 = Seine)</t>
  </si>
  <si>
    <t>Paris/FrancessParis</t>
  </si>
  <si>
    <t>3. Résultats composition</t>
  </si>
  <si>
    <t>Paris</t>
  </si>
  <si>
    <t>Mobilier</t>
  </si>
  <si>
    <t>Immobilier</t>
  </si>
  <si>
    <t>%Mob</t>
  </si>
  <si>
    <t>%Imm</t>
  </si>
  <si>
    <t>Mob</t>
  </si>
  <si>
    <t>Imm</t>
  </si>
  <si>
    <t>Composition par fractile</t>
  </si>
  <si>
    <t>(2/5/2002)</t>
  </si>
  <si>
    <t>1. La période 1902-1913</t>
  </si>
  <si>
    <t>TabReb</t>
  </si>
  <si>
    <t>AR66</t>
  </si>
  <si>
    <t>AnnSucc(brut)</t>
  </si>
  <si>
    <t>AnnSucc(net)</t>
  </si>
  <si>
    <t>%net/brut</t>
  </si>
  <si>
    <t>TabRep/AR66</t>
  </si>
  <si>
    <t>&gt;&gt;&gt; les données TabRep et AR66 sont parfaitement cohérentes, compte tenu du fait que les tabrep</t>
  </si>
  <si>
    <t>portent toujours sur les patrimoines nets (la cohérence n'est parfaite que pour 1911-1913, et les</t>
  </si>
  <si>
    <t>très légers écarts pour 1903-1910 doivent s'expliquer par le fait qu'il existait encore quelques successions</t>
  </si>
  <si>
    <t>déclarées lors de ces années qui relevaient du régime pré-1901, et qui n'étaient donc pas prises en compte</t>
  </si>
  <si>
    <r>
      <t xml:space="preserve">dans les tabrep &gt;&gt;&gt; </t>
    </r>
    <r>
      <rPr>
        <b/>
        <sz val="10"/>
        <rFont val="Arial"/>
        <family val="2"/>
      </rPr>
      <t>à vérifier dans le BSLC 1902-1913</t>
    </r>
    <r>
      <rPr>
        <sz val="10"/>
        <rFont val="Arial"/>
        <family val="0"/>
      </rPr>
      <t>)</t>
    </r>
  </si>
  <si>
    <t>1902(Seine-Paris)</t>
  </si>
  <si>
    <t>1902 (net)</t>
  </si>
  <si>
    <t>(données reprises du classeur BSLC 1902-1913)</t>
  </si>
  <si>
    <t>N.déclarations&gt;0</t>
  </si>
  <si>
    <t>1817/1807</t>
  </si>
  <si>
    <t>1827/1817</t>
  </si>
  <si>
    <t>1902-1913(brut)</t>
  </si>
  <si>
    <t>1837/1827</t>
  </si>
  <si>
    <t>1902 (brut)</t>
  </si>
  <si>
    <t>1902(brut)</t>
  </si>
  <si>
    <t>1902(net)</t>
  </si>
  <si>
    <t>1902/1867</t>
  </si>
  <si>
    <t>1902/1807</t>
  </si>
  <si>
    <t>1902/1827</t>
  </si>
  <si>
    <t>1913/1902</t>
  </si>
  <si>
    <t>successorale brute 1827-1902: AR1966, p.530; Annuité successorale nette 1902-1913: tabrep (cf. feuille DataAgreg1807-1913); Annuité successorale</t>
  </si>
  <si>
    <r>
      <t xml:space="preserve">(ratio entre les deux successions moyennes constant à 3,20); en fait, il est fort possible que le ratio était plus élevé en 1807-1817 qu'en 1827 </t>
    </r>
    <r>
      <rPr>
        <b/>
        <sz val="8"/>
        <rFont val="Arial"/>
        <family val="2"/>
      </rPr>
      <t>(à compléter)</t>
    </r>
  </si>
  <si>
    <t>ratio</t>
  </si>
  <si>
    <t>g annuel</t>
  </si>
  <si>
    <t>g France</t>
  </si>
  <si>
    <t>diff</t>
  </si>
  <si>
    <t>g FrssParis</t>
  </si>
  <si>
    <t xml:space="preserve">Sources: N.décès tot et 20+ 1817-1902 Paris: ASVP1904 pp.1074-1077; N. décès tot 1807 Paris:Dupaquier ADH1967 p.515; N. décès 20+ 1807 Paris calculé en supposant le même % de 20+ </t>
  </si>
  <si>
    <r>
      <t xml:space="preserve">qu'en 1817 </t>
    </r>
    <r>
      <rPr>
        <b/>
        <sz val="8"/>
        <rFont val="Arial"/>
        <family val="2"/>
      </rPr>
      <t>(à compléter)</t>
    </r>
    <r>
      <rPr>
        <sz val="8"/>
        <rFont val="Arial"/>
        <family val="2"/>
      </rPr>
      <t xml:space="preserve">; N.décès tot et 20+ 1902-1913 Seine: ASVP1903-1913 (JLR) ; N.déclarations et annuité successorale Paris 1807-1902: fichiers archives (brut, sauf 1902 où on a </t>
    </r>
  </si>
  <si>
    <t>à la fois brut et net); N. déclarations et annuité successorale 1902-1913 Seine: tabrep (net)</t>
  </si>
  <si>
    <t>Sources: tableau obtenu par différence avec les deux tableaux différents</t>
  </si>
  <si>
    <t>&gt;&gt;&gt; la succession moyenne a progressé substantiellement plus vite à Paris que dans le reste de la France depuis 1837: le ratio</t>
  </si>
  <si>
    <t>entre Paris et le reste de la France est passé de 3,19 en 1837 à 4,93 en 1902; le ratio semble par contre avoir légèrement</t>
  </si>
  <si>
    <t>baissé de 1827 à 1837 (de 3,43 à 3,19); il est possible qu'il ait également baissé de 1807 à 1827, il faudrait pour préciser ce</t>
  </si>
  <si>
    <t>point compléter la série d'annuité successorale nationale (qui commence en 1826) à partir des recettes</t>
  </si>
  <si>
    <t>(dans tous les cas, la progression séculaire du ratio est d'autant plus frappante que la pop de Paris a bcp augmenté)</t>
  </si>
  <si>
    <t>&gt;&gt;&gt; le collage de 1902 semble bien se passer au niveau agrégé: l'annuité successorale ramassée dans les archives de Paris</t>
  </si>
  <si>
    <t>est presque aussi forte que l'annuité successorale de la Seine calculée à l'époque par l'administration, la différence correspondant</t>
  </si>
  <si>
    <t>à une succession moyenne en banlieue de 4213FF vs 6563FF pour France-Paris (et à une succession moyenne par succ&gt;0 équivalente</t>
  </si>
  <si>
    <t>à France-Paris), ce qui semble raisonnable</t>
  </si>
  <si>
    <t xml:space="preserve">                            Tabrep 1902</t>
  </si>
  <si>
    <r>
      <t>s</t>
    </r>
    <r>
      <rPr>
        <vertAlign val="subscript"/>
        <sz val="10"/>
        <rFont val="Arial"/>
        <family val="0"/>
      </rPr>
      <t>i</t>
    </r>
  </si>
  <si>
    <t>TabRep 1902 (Seine)</t>
  </si>
  <si>
    <t>Fichier 1902 (Paris)</t>
  </si>
  <si>
    <r>
      <t>N</t>
    </r>
    <r>
      <rPr>
        <vertAlign val="subscript"/>
        <sz val="10"/>
        <rFont val="Arial"/>
        <family val="0"/>
      </rPr>
      <t xml:space="preserve">i </t>
    </r>
    <r>
      <rPr>
        <sz val="10"/>
        <rFont val="Arial"/>
        <family val="0"/>
      </rPr>
      <t xml:space="preserve"> </t>
    </r>
  </si>
  <si>
    <r>
      <t>s</t>
    </r>
    <r>
      <rPr>
        <vertAlign val="subscript"/>
        <sz val="10"/>
        <rFont val="Arial"/>
        <family val="0"/>
      </rPr>
      <t xml:space="preserve">i </t>
    </r>
    <r>
      <rPr>
        <sz val="10"/>
        <rFont val="Arial"/>
        <family val="2"/>
      </rPr>
      <t>moyenne</t>
    </r>
  </si>
  <si>
    <r>
      <t>S</t>
    </r>
    <r>
      <rPr>
        <vertAlign val="subscript"/>
        <sz val="10"/>
        <rFont val="Arial"/>
        <family val="0"/>
      </rPr>
      <t xml:space="preserve">i </t>
    </r>
    <r>
      <rPr>
        <sz val="10"/>
        <rFont val="Arial"/>
        <family val="2"/>
      </rPr>
      <t>totale</t>
    </r>
    <r>
      <rPr>
        <sz val="10"/>
        <rFont val="Arial"/>
        <family val="0"/>
      </rPr>
      <t xml:space="preserve"> </t>
    </r>
  </si>
  <si>
    <t>TabRep Seine / Fichier Paris</t>
  </si>
  <si>
    <t>(30/1/2003)</t>
  </si>
  <si>
    <t>et le tabrep Paris 1902 calculé à partir du fichier constitué aux archives (su sn if sn&gt;5000000 etc. dans Ineg2002.dta)</t>
  </si>
  <si>
    <t>&gt;&gt;&gt; cela colle globalement très bien (effectifs quasi-identiques au top = la banlieue est principalement en bas), sauf qu'il y</t>
  </si>
  <si>
    <t>a encore plus de très grosses successions dans le fichier Paris que dans le tabrep Seine! Cela doit s'expliquer par le fait que</t>
  </si>
  <si>
    <t>l'administration de l'époque n'avait pas réussi à recoller tous les morceux de très grosses successions</t>
  </si>
  <si>
    <r>
      <t>b</t>
    </r>
    <r>
      <rPr>
        <vertAlign val="subscript"/>
        <sz val="10"/>
        <rFont val="Arial"/>
        <family val="0"/>
      </rPr>
      <t xml:space="preserve">i </t>
    </r>
    <r>
      <rPr>
        <sz val="10"/>
        <rFont val="Arial"/>
        <family val="2"/>
      </rPr>
      <t>Seine</t>
    </r>
  </si>
  <si>
    <r>
      <t>b</t>
    </r>
    <r>
      <rPr>
        <vertAlign val="subscript"/>
        <sz val="10"/>
        <rFont val="Arial"/>
        <family val="0"/>
      </rPr>
      <t xml:space="preserve">i </t>
    </r>
    <r>
      <rPr>
        <sz val="10"/>
        <rFont val="Arial"/>
        <family val="2"/>
      </rPr>
      <t>Paris</t>
    </r>
  </si>
  <si>
    <t>&gt;&gt;&gt; les dépouillements de l'administration du début XXe sous-estiment vraissemblablement les très grosses fortunes</t>
  </si>
  <si>
    <t>(par ailleurs, il y a clairement des pb dans les dépouillements: il n'est pas normal que la moyenne de la tranche 2000-10000 soit à 8205; j'ai</t>
  </si>
  <si>
    <t>vérifié, ce type d'anomalies disparaît à partir de 1903)</t>
  </si>
  <si>
    <t>(revu et corrigé en ajoutant les années manquantes le 28/1/2003)</t>
  </si>
  <si>
    <t>1. Comparaison entre le tabrep Seine 1902 issu des dépouillements de l'administration de l'époque (publié dans le BSLC)</t>
  </si>
  <si>
    <t>Comparaisons entre les différentes sources pour l'année 1902</t>
  </si>
  <si>
    <t>(tabulations sous Stata: je construit cumul psn, gen(psn), cumul psb, gen(psb) etc. puis su sn if psn&gt;0,9 etc.)</t>
  </si>
  <si>
    <t>sn/sb</t>
  </si>
  <si>
    <t>sb/sp</t>
  </si>
  <si>
    <t>1902(sb)</t>
  </si>
  <si>
    <t>sn (psn)</t>
  </si>
  <si>
    <t>sb (psb)</t>
  </si>
  <si>
    <t>sn(psb)</t>
  </si>
  <si>
    <t>&gt;&gt;&gt; la succession nette représente 91-92% de la succession brute dans toutes les tranches (ratio légèrement croissant avec la tranche)</t>
  </si>
  <si>
    <t>2. Comparaison entre les fractiles estimés à partir du fichier archives en succession brute et  nette</t>
  </si>
  <si>
    <t>(sn = succession nette, sb= succession brute)</t>
  </si>
  <si>
    <t>(la notation sn(psb) signifie que j'ai tabulé les successions nettes par tranches de succession brute)</t>
  </si>
  <si>
    <t>2. Comparaison entre les fractiles estimés à partir du fichier archives en succession brute avec et sans immobilier non-parisien</t>
  </si>
  <si>
    <t>(tabulations sous Stata: je construit cumul psb, gen(psb) etc. puis su sb if psb&gt;0,9 etc.)</t>
  </si>
  <si>
    <t>sp (psp)</t>
  </si>
  <si>
    <t>sp(psb)</t>
  </si>
  <si>
    <t>(sb= succession brute, sp=sb-inp=succession brute sans immobilier non-parisien; je fais replace inp=0 if inp==. (7obs) et replace sp=0 if sp&lt;0 (12obs))</t>
  </si>
  <si>
    <t>&gt;&gt;&gt; l'immobilier non-parisien n'a qu'un impact limité sur le montant des successions parisiennes: rehaussement moyen de 8,3%,</t>
  </si>
  <si>
    <t>nettement décroissant avec le fractile</t>
  </si>
  <si>
    <t>shares sp</t>
  </si>
  <si>
    <t>shares sb</t>
  </si>
  <si>
    <t>sur-estime de 8,3% la progression du niveau moyen, mais je sous-estime la progression des parts: top1% = 64,1% en sp, 63,7% en sb</t>
  </si>
  <si>
    <t xml:space="preserve">&gt;&gt;&gt; en utilisant les fichiers 1807-1867 (qui ne contiennent pas l'immobilier non-parisien) et le fichier 1902 (qui contient l'immobilier non-parisien), je </t>
  </si>
  <si>
    <t>&gt;&gt;&gt; peut-être faudrait-il mieux travailler directement en sp pour avoir des résultats plus comparables avec les années précédentes; mais tout dépend</t>
  </si>
  <si>
    <t>des hypothèses à faire sur le mobilier non-parisien, que l'on ne peut décomposer dans le fichier 1902: peut-être compense-t-il au niveau des parts l'impact</t>
  </si>
  <si>
    <t>de l'immobilier non-parisien</t>
  </si>
  <si>
    <t>Résultats des extrapolations paretiennes à partir des tabrep du BSLC, 1902-1913</t>
  </si>
  <si>
    <t>1847/1837</t>
  </si>
  <si>
    <t>1902/1847</t>
  </si>
  <si>
    <t>(révisé le 29/4/2002)</t>
  </si>
  <si>
    <t>Séries successorales aggrégées, 1807-1913: comparaisons entre les différentes séries disponibles</t>
  </si>
  <si>
    <t>(10/2/2003)</t>
  </si>
  <si>
    <t>dans les successions n'appartiennent parfois que pour une part&lt;100% au défunt (autres parts détenues par le conjoint, ou par d'autres membres de la</t>
  </si>
  <si>
    <t>famille dans une indivision, etc.); la "succession avec part" prend cela en compte et aboutit donc à une succession totale inférieure à la "succession</t>
  </si>
  <si>
    <t>Pb = à partir de 1827, les archives permettent de calculer des successions avec parts et des successions sans parts; i.e. les biens immobiliers mentionnés</t>
  </si>
  <si>
    <t>sans part", qui fait comme ci tous les biens immobiliers mentionnés appartiennent à 100% au défunt; a priori la série la plus fiable est la série "avec part";</t>
  </si>
  <si>
    <t>la pb est que les informations sur les parts ne sont pas mentionnées dans les archives pour 1807 et 1817, où le total disponible s'apparente plutôt</t>
  </si>
  <si>
    <t>à une "succession sans part" (sauf que d'après GPV l'administration a toujours pris en compte partiellement les parts en ne mentionnant que la valeur</t>
  </si>
  <si>
    <t>des biens immobiliers du défunt dans les cas les plus flagrants); pour éclaircir cette question, je calcule ici les séries 1827-1867 avec parts et sans part (pour</t>
  </si>
  <si>
    <t>avec parts</t>
  </si>
  <si>
    <t>sans part</t>
  </si>
  <si>
    <t>Comparaisons entre les séries avec parts et les séries sans part, 1827-1867</t>
  </si>
  <si>
    <t>1827-niv</t>
  </si>
  <si>
    <t>1827-seuils</t>
  </si>
  <si>
    <t>1827-parts</t>
  </si>
  <si>
    <t>1837-niv</t>
  </si>
  <si>
    <t>1837-seuils</t>
  </si>
  <si>
    <t>1837-parts</t>
  </si>
  <si>
    <t>1847-niv</t>
  </si>
  <si>
    <t>1847-seuils</t>
  </si>
  <si>
    <t>1847-parts</t>
  </si>
  <si>
    <t>1857-niv</t>
  </si>
  <si>
    <t>1857-seuils</t>
  </si>
  <si>
    <t>1857-parts</t>
  </si>
  <si>
    <t>1857/1847</t>
  </si>
  <si>
    <t>1867/1857</t>
  </si>
  <si>
    <t>1867-niv</t>
  </si>
  <si>
    <t>1867-seuils</t>
  </si>
  <si>
    <t>1867-parts</t>
  </si>
  <si>
    <t>&gt;&gt;&gt; résultats des courses: les parts ont un impact très stable sur la période 1827-1867: le passage des successions avec parts aux successions</t>
  </si>
  <si>
    <t>sans parts revient toujours à relever les niveaux et les seuils d'environ 5-7%, avec des taux de rehaussement toujours légèrement plus forts</t>
  </si>
  <si>
    <t xml:space="preserve">pour les successions moyennes que pour les petites et les grosses successions; pour finir, les parts de P99-100 dans l'annuité successorale </t>
  </si>
  <si>
    <t>sont toujours très légèrement plus faibles avec les successions sans part qu'avec les successions avec parts (écarts très faibles, car taux</t>
  </si>
  <si>
    <t>de rehaussement quasiment uniformes)</t>
  </si>
  <si>
    <t>&gt;&gt;&gt; en adoptant les sucessions avec parts dans mes séries finales (=dans la feuille Res1807-1913, j'utilise toujours les successions avec parts</t>
  </si>
  <si>
    <t>pour 1827-1867), je sous-estime les niveaux de 5-7% par rapport à 1807-1817 (=à corriger), mais les parts sont peu affectées (je les sur-estime</t>
  </si>
  <si>
    <t>très légèrement)</t>
  </si>
  <si>
    <t>(par ailleurs, tous mes calculs ont été effectués en prenant toutes les successions, y compris en prenant les très rares successions de</t>
  </si>
  <si>
    <t>moins de 20 ans (bien que les fractiles soient of course calculés par rapport aux décès 20+); cela m'a semblé préférable, compte tenu</t>
  </si>
  <si>
    <t>de l'instabilité des renseignements sur l'âge, et du nombre microscopique de grosses successions d'enfants)</t>
  </si>
  <si>
    <t>&gt;&gt;&gt; la concentration des fortunes à Paris est nettement plus forte en 1902 qu'en 1807: 63,7% pour P99-100 en 1902 vs</t>
  </si>
  <si>
    <t>46,1% en 1807, 25,6% pour P99,9-100 vs 12,3%, etc., et encore ces chiffres sous-estiment-ils la progression de la concentration,</t>
  </si>
  <si>
    <t>compte tenu de l'élargissement de Paris en 1860</t>
  </si>
  <si>
    <t>&gt;&gt;&gt; la progression n'est cependant pas uniforme sur le siècle: concentration en forte hausse entre 1807 et 1817 (=les petites</t>
  </si>
  <si>
    <t>et moyennes successions ont été le plus touchés par la guerre?), puis en baisse de 1817 à 1827 (=reconstitution des petites</t>
  </si>
  <si>
    <t>successions), puis hausse régulièe de 1827 à 1902, sauf baisse 1847-1857 (=l'impact de la révolution de 1848?) (la hausse 1867/1857</t>
  </si>
  <si>
    <t>serait nettement plus forte si l'on prenait en compte l'élargissement de Paris)</t>
  </si>
  <si>
    <t>&gt;&gt;&gt; pour finir, même si l'on retenait une concentration des fortunes parisiennes à peu près constante à 50-60% pour P99-100, le fait</t>
  </si>
  <si>
    <t>majeur est qu'il s'agirait déjà d'un très fort accroissement de la concentration des fortunes au niveau national, compte tenu du très</t>
  </si>
  <si>
    <t>fort accroissement de la taille de Paris, et du très fort accroissement du ratio entre la succession moyenne à Paris et la succession</t>
  </si>
  <si>
    <t>moyenne dans le reste de la France</t>
  </si>
  <si>
    <t>&gt;&gt;&gt; 1. La part du mobilier a toujours été beaucoup plus élevée à Paris que dans le reste de la France</t>
  </si>
  <si>
    <t>2. La part du mobilier a progressé régulièrement dans le reste de la France, alors que la progression ne commence</t>
  </si>
  <si>
    <t>qu'en 1837 à Paris (la progression 1902/1867 est encore plus importante que celle indiquée ici, car je n'ai pas retiré l'immobilier</t>
  </si>
  <si>
    <t>non-parisien pour 1902; par ailleurs, la part du mobilier a baissé entre 1817 et 1827 (et pas seulement entre 1827 et 1837), car</t>
  </si>
  <si>
    <t>les chiffres 1817-1827 ne prennent pas en compte les parts)</t>
  </si>
  <si>
    <t>niveaux mobilier par fractile de succession</t>
  </si>
  <si>
    <t>parts mobiliers</t>
  </si>
  <si>
    <t>brute 1807-1817: calculée en supposant que la succession moyenne France entière moins Paris  a évolué de la même façon que la succession moyenne Paris sur 1807-1827</t>
  </si>
  <si>
    <t>(16/11/2001)</t>
  </si>
  <si>
    <t xml:space="preserve">                   Les tableaux statistiques bruts établis par l'administration fiscale à partir des déclarations de successions:</t>
  </si>
  <si>
    <t xml:space="preserve">                                                     le département de la Seine versus la France entière (successions 1902-1913)</t>
  </si>
  <si>
    <t xml:space="preserve">                            1902</t>
  </si>
  <si>
    <t xml:space="preserve">                            1903</t>
  </si>
  <si>
    <t xml:space="preserve">                            1904</t>
  </si>
  <si>
    <t xml:space="preserve">                            1905</t>
  </si>
  <si>
    <t xml:space="preserve">                            1907</t>
  </si>
  <si>
    <t xml:space="preserve">                            1909</t>
  </si>
  <si>
    <t xml:space="preserve">                            1910</t>
  </si>
  <si>
    <t xml:space="preserve">                            1911</t>
  </si>
  <si>
    <t xml:space="preserve">                            1912</t>
  </si>
  <si>
    <t xml:space="preserve">                            1913</t>
  </si>
  <si>
    <r>
      <t xml:space="preserve">(données pour la France entière issues de </t>
    </r>
    <r>
      <rPr>
        <i/>
        <sz val="6"/>
        <rFont val="Arial"/>
        <family val="2"/>
      </rPr>
      <t>Les hauts revenus en France au XXe siècle</t>
    </r>
    <r>
      <rPr>
        <sz val="6"/>
        <rFont val="Arial"/>
        <family val="2"/>
      </rPr>
      <t>, annexe J, tableau J-1, p.746)</t>
    </r>
  </si>
  <si>
    <r>
      <t xml:space="preserve">(données pour le département de la Seine saisies le 16/11/2001 à Ulm à partir des références BSLC données dans </t>
    </r>
    <r>
      <rPr>
        <i/>
        <sz val="6"/>
        <rFont val="Arial"/>
        <family val="2"/>
      </rPr>
      <t>Les hauts revenus en France au XXe siècle</t>
    </r>
    <r>
      <rPr>
        <sz val="6"/>
        <rFont val="Arial"/>
        <family val="2"/>
      </rPr>
      <t>, annexe J, tableau J-2, p.749)</t>
    </r>
  </si>
  <si>
    <r>
      <t>s</t>
    </r>
    <r>
      <rPr>
        <vertAlign val="subscript"/>
        <sz val="6"/>
        <rFont val="Arial"/>
        <family val="2"/>
      </rPr>
      <t>i</t>
    </r>
  </si>
  <si>
    <r>
      <t>N</t>
    </r>
    <r>
      <rPr>
        <vertAlign val="subscript"/>
        <sz val="6"/>
        <rFont val="Arial"/>
        <family val="2"/>
      </rPr>
      <t>i</t>
    </r>
  </si>
  <si>
    <r>
      <t>Y</t>
    </r>
    <r>
      <rPr>
        <vertAlign val="subscript"/>
        <sz val="6"/>
        <rFont val="Arial"/>
        <family val="2"/>
      </rPr>
      <t>i</t>
    </r>
  </si>
  <si>
    <r>
      <t>N</t>
    </r>
    <r>
      <rPr>
        <vertAlign val="subscript"/>
        <sz val="6"/>
        <rFont val="Arial"/>
        <family val="2"/>
      </rPr>
      <t xml:space="preserve">i </t>
    </r>
    <r>
      <rPr>
        <sz val="6"/>
        <rFont val="Arial"/>
        <family val="2"/>
      </rPr>
      <t xml:space="preserve"> (Seine)</t>
    </r>
  </si>
  <si>
    <r>
      <t>Y</t>
    </r>
    <r>
      <rPr>
        <vertAlign val="subscript"/>
        <sz val="6"/>
        <rFont val="Arial"/>
        <family val="2"/>
      </rPr>
      <t xml:space="preserve">i </t>
    </r>
    <r>
      <rPr>
        <sz val="6"/>
        <rFont val="Arial"/>
        <family val="2"/>
      </rPr>
      <t xml:space="preserve"> (Seine)</t>
    </r>
  </si>
  <si>
    <r>
      <t>N</t>
    </r>
    <r>
      <rPr>
        <vertAlign val="subscript"/>
        <sz val="6"/>
        <rFont val="Arial"/>
        <family val="2"/>
      </rPr>
      <t xml:space="preserve">i </t>
    </r>
    <r>
      <rPr>
        <sz val="6"/>
        <rFont val="Arial"/>
        <family val="2"/>
      </rPr>
      <t xml:space="preserve"> (Seine)/Ni</t>
    </r>
  </si>
  <si>
    <r>
      <t>Y</t>
    </r>
    <r>
      <rPr>
        <vertAlign val="subscript"/>
        <sz val="6"/>
        <rFont val="Arial"/>
        <family val="2"/>
      </rPr>
      <t xml:space="preserve">i </t>
    </r>
    <r>
      <rPr>
        <sz val="6"/>
        <rFont val="Arial"/>
        <family val="2"/>
      </rPr>
      <t xml:space="preserve"> (Seine)/Yi</t>
    </r>
  </si>
  <si>
    <t>%Décès20+Paris</t>
  </si>
  <si>
    <t>(28/4/2003)</t>
  </si>
  <si>
    <t>Estimation des fractiles nationaux à partir des données parisiennes, 1807-1902</t>
  </si>
  <si>
    <t>(revu et corrigé avec les nouveaux fichiers le 28/4/2003)</t>
  </si>
  <si>
    <t>%Paris1902(observé)</t>
  </si>
  <si>
    <t>1902(net) (national observé)</t>
  </si>
  <si>
    <t>&gt;&gt;&gt; Seuils et niveaux nationaux extrapolés:</t>
  </si>
  <si>
    <t>1902(net) (niveaux corrigés)</t>
  </si>
  <si>
    <t>calcul des pondérations P90-95=aP90+(1-a)P95 etc.</t>
  </si>
  <si>
    <t>shares</t>
  </si>
  <si>
    <t>%Paris1807</t>
  </si>
  <si>
    <t>%Paris1817</t>
  </si>
  <si>
    <t>%Paris1827</t>
  </si>
  <si>
    <t>%Paris1837</t>
  </si>
  <si>
    <t>%Paris1847</t>
  </si>
  <si>
    <t>%Paris1857</t>
  </si>
  <si>
    <t>%Paris1867</t>
  </si>
  <si>
    <t>Hypothèse n°1: je suppose que le poids de Paris dans les hauts fractiles est resté globalement stable sur 1807-1994 (pas irréaliste sur la base de la stabilité 1902-1994)</t>
  </si>
  <si>
    <t>(principe de base de la méthode: je calcule les seuils à partir des effectifs donnés plus haut, je calcule les niveaux intermédiaires séparément, et je recalcule ensuite les niveaux supérieurs P90-100 etc. = il ne faut surtout prendre les niveaux P90-100 etc. depuis Paris, car les coeff de Pareto sont nettement plus élevés à Paris, cf. 1902)</t>
  </si>
  <si>
    <t>(tous les chiffres ont été calculés à partir des dofiles DoNobles1807, etc.)</t>
  </si>
  <si>
    <t>D'où les shares:</t>
  </si>
  <si>
    <t>&gt;&gt;&gt;&gt; l'hypothèse n°1 est clairement fausse autour de P90-95: compte tenu du faible nombre de successions positives à Paris,</t>
  </si>
  <si>
    <t>elle aboutit à sous-estimer gravement les niveaux autour de P90-95 au niveau national; par contre, rien ne dit qu'elle n'est pas une</t>
  </si>
  <si>
    <t>bonne hypothèse au niveau de P99-100 &gt;&gt;&gt; ces séries sous-estiment P90-100 en début de période, mais peut-être pas P99-100</t>
  </si>
  <si>
    <t xml:space="preserve">(principe de base de la méthode: je calcule les seuils à partir des effectifs donnés plus haut, je calcule les niveaux intermédiaires séparément, et je recalcule ensuite les niveaux supérieurs P90-100 etc. = il ne faut surtout prendre les niveaux P90-100 </t>
  </si>
  <si>
    <t>Hypothèse n°2: je suppose que le poids de Paris dans les hauts fractiles a évolué proportionnellement au poids global de Paris (=hypothèse minimale)</t>
  </si>
  <si>
    <t>&gt;&gt;&gt; cette hypothèse n°2 est clairement fausse, puisqu'elle conduit à une part de P90-100 supérieure à 100% en 1857-1867 = cela</t>
  </si>
  <si>
    <t>montre de façon claire que le % Paris dans les gros fractiles a progressé moins que proportionnellement au poids global de Paris</t>
  </si>
  <si>
    <t>Hypothèse n°3: j'estime l'évolution du poids de Paris dans les hauts fractiles à partir des tabrep CPM (=hypothèse médiane)</t>
  </si>
  <si>
    <t>%ParisCPM1835</t>
  </si>
  <si>
    <t>%ParisCPM1894</t>
  </si>
  <si>
    <t>Ratio</t>
  </si>
  <si>
    <t>Ratio 1902/1837</t>
  </si>
  <si>
    <t>(=je calcule 1837/1902 à partir de CPM1835/1894, puis j'interpole linéairement 1847-1867 et 1807-1827)</t>
  </si>
  <si>
    <t>&gt;&gt;&gt; cette hypothèse n°3 est sans doute la plus raisonnable, mais cela reste très approximatif et incertain; en particulier,</t>
  </si>
  <si>
    <t>la part de P90-95 est beaucoup trop élevée en 1857-1867 (seul le top 1% est a priori raisonnable sur toute la période)</t>
  </si>
  <si>
    <t>P99-100 ajustée</t>
  </si>
  <si>
    <t>de la concentration des fortunes entre les 1820s et les 1860s semble la plus raisonnable: à ce stade, il faut donc mieux présenter la série</t>
  </si>
  <si>
    <t>upper bound comme la plus raisonnable (série hypothèse n°2)</t>
  </si>
  <si>
    <t>&gt;&gt;&gt; (28/4/2003) Pour finir, si je prend au sérieux les fractiles TRA transmis par GPV, l'hypothèse d une hausse moderee</t>
  </si>
  <si>
    <t>(28/4/2003: tous les chiffres ont été revus et corrigés avec les fichiers définitifs)</t>
  </si>
  <si>
    <t>SuccMoy sspart</t>
  </si>
  <si>
    <t>&gt;&gt;&gt; la part des actifs mobiliers suit toujours une courbe en U, remarquablement stable sur toute la période,</t>
  </si>
  <si>
    <t>avec toutefois une courbe en U de l'importance globale des actifs mobiliers au cours du siècle (=la courbe des nobles?)</t>
  </si>
  <si>
    <t>Le point sur les biais/corrections et la façon dont je les traite à ce stade</t>
  </si>
  <si>
    <t>1. Le pb des parts = impossible d'appliquer les parts immobilières pour 1807-1817; les taux de correction étant grosso modo uniformes,</t>
  </si>
  <si>
    <t>inutile de corriger les parts; par contre, il faut corriger les compositions, i.e. réduire la part de l'immobilier en 1807-1817 sur la base de 1827,</t>
  </si>
  <si>
    <t>ce qui accentue la courbe en U de la part du mobilier au cours du siècle (=parfaitement légitime) (j'ajuste les compositions par fractile 1807-1817</t>
  </si>
  <si>
    <t>sur la base de cet ajustement moyen)</t>
  </si>
  <si>
    <t>2. Le pb des rentes d'Etat, non imposables en compte sur 1807-1847: d'après le sondage JLR/GPV 1857, les rentes représentent 13% de P0-100,</t>
  </si>
  <si>
    <t>3. Le pb de l'immobilier non-parisien, non pris en compte avant 1902: en 1902, l'immobilier non-parisien réhausse les successions parisiennes</t>
  </si>
  <si>
    <t>de 8,3% pour P0-100,  8,2% pour P99-100 et 6,6% pour P99,9-100 (=approximativement uniforme, inutile de corriger les shares); en 1845, sur</t>
  </si>
  <si>
    <t>la base des listes de censitaires, GPV a estimé que l'immobilier non-parisien représentait environ 17% du total des 4 vieilles payées par le top1% des</t>
  </si>
  <si>
    <t>parisiens adultes mâles (9% pour P99-99,5, 14% pour P99,5-99,9, 28% pour P99,9-100), vs 7% au niveau de P96-99 (en dessous de P96, on</t>
  </si>
  <si>
    <t>est au-dessous du cens); il est certain que ce chiffre de 17% est une surestimation par rapport à celui de 8,2%, car les 4 vieilles sur-taxent la</t>
  </si>
  <si>
    <t>fortune foncière et donc sur-représentent la fortune foncière &gt;&gt;&gt; il est certain que la non-prise en compte de l'immobilier non-parisien avant 1902</t>
  </si>
  <si>
    <t>conduit à sous-estimer la concentration des fortunes au début du siècle, mais la sous-estimation (au niveau de la part de P99-100) ne semble pas</t>
  </si>
  <si>
    <t>pouvoir dépasser 10% (et est sans doute sensiblement inférieure), soit une sous-estimation du même ordre que la sur-estimation des parts</t>
  </si>
  <si>
    <t xml:space="preserve">induites par la non-prise ne compte des rentes sur 1807-1847 &gt;&gt;&gt; ces deux biais s'annullent à peu près, et le plus simple à ce stade est sans doute </t>
  </si>
  <si>
    <t>25% de P80-90, 15% de P90-95, 9% de P95-99 et 5% de P99-100, ce qui signifierait que la part du top1% est surestimée d'environ 10% avant</t>
  </si>
  <si>
    <t>1857; de fait, il ne fait aucun doute que le fort gonflement de P80-90 et P90-95 entre 1847 et 1857 s'explique en grande partie par les rentes; il</t>
  </si>
  <si>
    <t>est possible cpt que ces chiffres soient un peu fort</t>
  </si>
  <si>
    <t>de ne rien changer aux séries de parts, ni pour les rentes, ni pour l'immobilier non-parisien; par contre, je fais une correction pour l'immobilier</t>
  </si>
  <si>
    <t>non-parisien au niveau des séries compositions pour 1902</t>
  </si>
  <si>
    <t>%nobles</t>
  </si>
  <si>
    <t>N.nobles</t>
  </si>
  <si>
    <t>Succmoynobles</t>
  </si>
  <si>
    <t>Ntot</t>
  </si>
  <si>
    <t>SuccMoy</t>
  </si>
  <si>
    <t>%N</t>
  </si>
  <si>
    <t>%M</t>
  </si>
  <si>
    <t>&gt;&gt;&gt; pas totalement smooth, mais tout de même une courbe en U inversée assez nette au cours du siècle</t>
  </si>
  <si>
    <t>L'évolution du poids des nobles, des femmes, etc. de 1807 à 1902</t>
  </si>
  <si>
    <t>1. L'évolution du poids des nobles de 1807 à 1902</t>
  </si>
  <si>
    <t>(même si, pour un niveau de fortune donné, les nobles ne semblent pas particulièrement plus intensifs en immobilier)</t>
  </si>
  <si>
    <t>2. L'évolution du poids des femmes de 1807 à 1902</t>
  </si>
  <si>
    <t>N.femmes</t>
  </si>
  <si>
    <t>Succmoyfemmes</t>
  </si>
  <si>
    <t>%femmes</t>
  </si>
  <si>
    <t>SuccMoyhom</t>
  </si>
  <si>
    <t>%femmmesN</t>
  </si>
  <si>
    <t>%femmmesM</t>
  </si>
  <si>
    <t>Nhommes</t>
  </si>
  <si>
    <t>2. L'évolution du lien âge/fortune 1807 à 1902</t>
  </si>
  <si>
    <t>agemoyen</t>
  </si>
  <si>
    <t>20-29</t>
  </si>
  <si>
    <t>30-39</t>
  </si>
  <si>
    <t>40-49</t>
  </si>
  <si>
    <t>50-59</t>
  </si>
  <si>
    <t>60-69</t>
  </si>
  <si>
    <t>70-79</t>
  </si>
  <si>
    <t>1994-Paris</t>
  </si>
  <si>
    <t>1994-France</t>
  </si>
  <si>
    <t>90-99</t>
  </si>
  <si>
    <t>1943-France</t>
  </si>
  <si>
    <t>%MobP0-100</t>
  </si>
  <si>
    <t>Paris (Champ constant) (ie en calant tout sur sspart + im non-parisien)</t>
  </si>
  <si>
    <t>P0-90</t>
  </si>
  <si>
    <t>P99,9-100 ajusté</t>
  </si>
  <si>
    <t>P90-100 ajusté</t>
  </si>
  <si>
    <r>
      <t>Sources: N. décès et % décès 20+ 1902-1913 : tables de mortalité Vallin-Meslé; pour 1807-1887 j'ai conservé AR1966 + GPV/JLR pour les ratios, qi se fondent également sur Vallin-Meslé</t>
    </r>
    <r>
      <rPr>
        <b/>
        <sz val="8"/>
        <rFont val="Arial"/>
        <family val="2"/>
      </rPr>
      <t xml:space="preserve"> &gt;&gt; à harmonsier</t>
    </r>
    <r>
      <rPr>
        <sz val="8"/>
        <rFont val="Arial"/>
        <family val="2"/>
      </rPr>
      <t>; N. déclarations 1902-1913: tabrep; Annuité</t>
    </r>
  </si>
  <si>
    <t>1877-1887-1902, GPV et JLR n'ont pas calculé séparément les successions sans part, et le total disponible se réfère aux successions avec part):</t>
  </si>
  <si>
    <t>%Paris1877</t>
  </si>
  <si>
    <t>%Paris1887</t>
  </si>
  <si>
    <t>N. décès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</si>
  <si>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</si>
  <si>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</si>
  <si>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</si>
  <si>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</si>
  <si>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</si>
  <si>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</si>
  <si>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</si>
  <si>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</si>
  <si>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</si>
  <si>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</si>
  <si>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</si>
  <si>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</si>
  <si>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</si>
  <si>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N. vivants (1901)</t>
  </si>
  <si>
    <t>Multiplier</t>
  </si>
  <si>
    <t>(les successions positives &lt;20 ans ont été retirées: 110 en 1902)</t>
  </si>
  <si>
    <t>N. successions&gt;0 âge connu (après prise en compte du taux de réponse uniforme de 38,26132% à la question âge pour les succ positives)</t>
  </si>
  <si>
    <t>N. successions&gt;0 âge connu</t>
  </si>
  <si>
    <t>N.successions=0</t>
  </si>
  <si>
    <t>%succ&gt;0</t>
  </si>
  <si>
    <t>N. vivants&gt;0</t>
  </si>
  <si>
    <t>N.vivants=0</t>
  </si>
  <si>
    <t>Multiplier&gt;0</t>
  </si>
  <si>
    <t>Multiplier=0</t>
  </si>
  <si>
    <t>N.vivants 20+</t>
  </si>
  <si>
    <t>N.vivants&gt;0</t>
  </si>
  <si>
    <t>%vivants&gt;0</t>
  </si>
  <si>
    <t>Hypothèse n°1: taux de mortalité uniforme</t>
  </si>
  <si>
    <t>N. vivants (1817)</t>
  </si>
  <si>
    <t>succmoyen sur tous les âges renseignés</t>
  </si>
  <si>
    <t>succmoyen sur tous les âges renseignés de P95-100</t>
  </si>
  <si>
    <t>&gt;&gt;&gt; en se restreignant à P95-100 (=seul fractile où l'âge est renseigné de façon homogène sur toute la période), on retrouve</t>
  </si>
  <si>
    <t>le même phénomène, en moins massif (=les ages renseignés inférieurs à P95 meurent jeunes, parfaitement logique)</t>
  </si>
  <si>
    <t>1. Calculs des pondérations pour l'estate multiplier methodology</t>
  </si>
  <si>
    <t>(5/12/2003)</t>
  </si>
  <si>
    <t>Application de la méthode de l'estate multiplier pour passer de la richesse des morts à celle des vivants</t>
  </si>
  <si>
    <t>N. vivants recalculé (1817)</t>
  </si>
  <si>
    <t>N. successions&gt;P95 âge connu</t>
  </si>
  <si>
    <t>N.successions&lt;P95</t>
  </si>
  <si>
    <t>%succ&gt;P95</t>
  </si>
  <si>
    <t>N. successions&gt;P95 âge connu (après prise en compte du taux de réponse uniforme de 66,21% à la question âge pour les succ&gt;P95)</t>
  </si>
  <si>
    <t>Multiplier&gt;P95</t>
  </si>
  <si>
    <t>Multiplier&lt;P95</t>
  </si>
  <si>
    <t>N. vivants&gt;P95</t>
  </si>
  <si>
    <t>N.vivants&lt;P95</t>
  </si>
  <si>
    <t xml:space="preserve">N.vivants &gt;0 </t>
  </si>
  <si>
    <t>2. Séries parisiennes par fractiles après application des pondérations (estate multiplier methodology)</t>
  </si>
  <si>
    <t>3. Résultats par tranches d'âge</t>
  </si>
  <si>
    <t>succmoyen &lt;P95</t>
  </si>
  <si>
    <t>1902 (&gt;0)</t>
  </si>
  <si>
    <t>P0-95</t>
  </si>
  <si>
    <t>vivants</t>
  </si>
  <si>
    <t>N.vivants&gt;P95</t>
  </si>
  <si>
    <t>%&gt;P95</t>
  </si>
  <si>
    <t>N.vivans total</t>
  </si>
  <si>
    <t>Succession moyenne de tous les décédés&gt;P95 par tranches d'âge</t>
  </si>
  <si>
    <t>Succession moyenne de tous les décédés&lt;P95 par tranches d'âge</t>
  </si>
  <si>
    <t>Fortune moyenne des vivants par tranche d'âge</t>
  </si>
  <si>
    <t>Fortune moyenne des vivants par tranche d'âge, en indice 100 pour les 50-59 ans</t>
  </si>
  <si>
    <t>(10/12/2003) Le problème général avec les données d'âge est clair: l'âge n'est jamais renseigné pour les successions nulles (pas vraiment un pb,</t>
  </si>
  <si>
    <t>je connais leur structure par âge par différence), l'âge est renseigné avec un taux de réponse uniforme uniquement sur P95-100 (approximativement)</t>
  </si>
  <si>
    <t>pour les années 1817-1867 (très faible taux de réponse au-dessous de P95) et l'âge est renseigné avec un taux de réponse uniforme pour</t>
  </si>
  <si>
    <t>toutes les successions positives pour les années 1877-1887 &gt;&gt;&gt; le problème est celui de la répartition par âge de P0-75 vs P75-95 (approximativement)</t>
  </si>
  <si>
    <t>en 1817-1867 (pour 1807 aucune donnée sur l'âge anyway)</t>
  </si>
  <si>
    <t>P99-100/P90-100</t>
  </si>
  <si>
    <t>P99-100/P95-99</t>
  </si>
  <si>
    <t>Age moyen des décédés par niveau de succession (P0-100 = stats démo; P80-100 et au-delà = successions)</t>
  </si>
  <si>
    <t>Succession moyenne par tranches d'âge pour les successions&gt;P95</t>
  </si>
  <si>
    <t>Succession moyenne par tranches d'âge pour toutes les successions&gt;0 (essentiellement les successions&gt;P95 pour 1817-1867 = évolution biaisée)</t>
  </si>
  <si>
    <t>&gt;&gt;&gt; en 1902, le gros de la fortune est aux mains des inactifs, mais cette évolution est biaisée</t>
  </si>
  <si>
    <t>1902 (&gt;P95)</t>
  </si>
  <si>
    <t>%&gt;0</t>
  </si>
  <si>
    <t>Répartition des vivants par tranche d'âge, en %:</t>
  </si>
  <si>
    <t>Répartition de la fortune des vivants par tranche d'âge en %:</t>
  </si>
  <si>
    <t>60+</t>
  </si>
  <si>
    <t>1902(&gt;0)</t>
  </si>
  <si>
    <t>N.vivants&gt;0 et &lt;P95</t>
  </si>
  <si>
    <t>%&gt;0 et &lt;P95</t>
  </si>
  <si>
    <t>Succession moyenne par tranches d'âge pour les successions&gt;0 et &lt;P95 (=observé pour 1877-1902, imputé pour les années antérieures)</t>
  </si>
  <si>
    <t>N.successions&gt;P95</t>
  </si>
  <si>
    <t>N.successions&gt;0&amp;&lt;P95</t>
  </si>
  <si>
    <t>&gt;&gt;&gt; les successions&gt;0 et &lt;P95 ont grosso modo le même profil que les P95-100, j'impute les années 1807-1867 sur cette base</t>
  </si>
  <si>
    <t>(cette imputation est nécessaire car les âges ne sont renseignés que pour P95-100 sur 1807-1867)</t>
  </si>
  <si>
    <t>Moyenne</t>
  </si>
  <si>
    <t>N. vivants (1866)</t>
  </si>
  <si>
    <t>N. successions&gt;P95 âge connu (après prise en compte du taux de réponse uniforme de 54,75% à la question âge pour les succ&gt;P95)</t>
  </si>
  <si>
    <t>N. vivants (1836)</t>
  </si>
  <si>
    <t>N. vivants (moyenne 1817-1836)</t>
  </si>
  <si>
    <t>N. successions&gt;P95 âge connu (après prise en compte du taux de réponse uniforme de 59,04% à la question âge pour les succ&gt;P95)</t>
  </si>
  <si>
    <t>N. successions&gt;P95 âge connu (après prise en compte du taux de réponse uniforme de 64,18% à la question âge pour les succ&gt;P95)</t>
  </si>
  <si>
    <t>N. vivants (1851)</t>
  </si>
  <si>
    <t>N. successions&gt;P95 âge connu (après prise en compte du taux de réponse uniforme de 62,60% à la question âge pour les succ&gt;P95)</t>
  </si>
  <si>
    <t>N. vivants (1856)</t>
  </si>
  <si>
    <t>N. successions&gt;P95 âge connu (après prise en compte du taux de réponse uniforme de 54,00% à la question âge pour les succ&gt;P95)</t>
  </si>
  <si>
    <t>N. vivants (1876)</t>
  </si>
  <si>
    <t>N. successions&gt;P95 âge connu (après prise en compte du taux de réponse uniforme de 61,61% à la question âge pour les succ&gt;P95)</t>
  </si>
  <si>
    <t>70+</t>
  </si>
  <si>
    <t>N. vivants (1886)</t>
  </si>
  <si>
    <t>N. successions&gt;P95 âge connu (après prise en compte du taux de réponse uniforme de 62,67% à la question âge pour les succ&gt;P95)</t>
  </si>
  <si>
    <t>P99-100 ajusté</t>
  </si>
  <si>
    <t>(18/12/2003: La méthode très préliminaire appliquée pour calculer les séries wealth-of-the-living sorties ce jour est la suivante: (1) taux de mortalité uniforme</t>
  </si>
  <si>
    <t>shares, je cale les résultats sur 1902, où j'ai pu appliqué l'estate multiplier method pour P95-100 et pour toutes les successions&gt;0; (b) pour calculer les age shares,</t>
  </si>
  <si>
    <t>par classe d'âge; (2) pour régler lefait que l'age n'est renseignée à un taux uniforme que sur P95-100 pour 1817-1867, je procède la façon suivante: (a) pour les top</t>
  </si>
  <si>
    <t>je suppose que la répartition des décès par tranche d'âge pour les successions&gt;0 et &lt;P95 est la même que sur P95-100, ainsi que le profil de succession moyenne</t>
  </si>
  <si>
    <t>par tranche d'âge (cf. feuille précédente); (3) tout cela devra être affiné, notamment en se fondant sur la période récente)</t>
  </si>
  <si>
    <t>N. vivants (1994)</t>
  </si>
  <si>
    <t>1994 (&gt;0) (France entière)</t>
  </si>
  <si>
    <t>80-84</t>
  </si>
  <si>
    <t>1994 (&gt;0) (Paris)</t>
  </si>
  <si>
    <t>85+</t>
  </si>
  <si>
    <t>P99,99-100 corrigé des aberrations</t>
  </si>
  <si>
    <t>1994(France)</t>
  </si>
  <si>
    <t>20-39</t>
  </si>
  <si>
    <t>1947 (&gt;0) (France entière)</t>
  </si>
  <si>
    <t>1947(France)</t>
  </si>
  <si>
    <t>(5/4/2004: en fait, je n'utilise jamais ces estate multiplier Paris 1994: trop peu d'observations pour faire du travail sérieux, et de toute façon aucune autre année où je peux faire ce travail au niveau départemental au 20ème siècle, à part 1902; je me contente donc de donner les résultats nationaux pour 1947 et 1994)</t>
  </si>
  <si>
    <t>(5/4/2004): Finalement, je retiens les séries avec la méthodologie&gt;P95; ce sont les seuls pour lesquels j'ai une série continue, et les niveaux</t>
  </si>
  <si>
    <t>sont plus raisonnables pour 1902</t>
  </si>
  <si>
    <t>(5/4/2004) Je prend l'hypothèse 2 pour P99 and above, et GPV-TRA pour P90 et P95 (cf. papier avril 2004)</t>
  </si>
  <si>
    <t>(5/4/2004) Finalement je retiens les chiffres bruts (sans aucune correction pour les très grosses successions), c'est le plus honnête</t>
  </si>
  <si>
    <t>(12/5/2005) Je reprend complètement la méthode mise au point en décembre 2003/avril 2004; les pondérations calculées ici sont celles appliquées</t>
  </si>
  <si>
    <t>dans les dofiles mai 2005 pour la révision AER</t>
  </si>
  <si>
    <t>En gros, deux nouveautés par rapport à décembre 2003/avril 2004: (1) les nouveaux fichiers sont mieux renseignés pour les âges (tx uniforme réponse âge pour toutes</t>
  </si>
  <si>
    <t>les succ&gt;0, sauf pour 1837-1867 où les réponses restent limitées à P95-100); (2) j'adopte désormais deux hypothèses, l'une avec des tx de mortalité uniforme,</t>
  </si>
  <si>
    <t xml:space="preserve">et l'autre avec des taux de mortalité différentielle, en m'inspirant de Kopzuk-Saez (qui prennent des tx de mortalité des riches égaux approximativement à 85% </t>
  </si>
  <si>
    <t>de ceux des pauvres, avec des variations par tranches d'âges que j'ignore)</t>
  </si>
  <si>
    <t>(=seule feuille de tout ce classeur à laquelle je touche en mai 2005)</t>
  </si>
  <si>
    <t xml:space="preserve">N. successions&gt;0 </t>
  </si>
  <si>
    <t>Hypothèse n°2: taux de mortalité différentielle</t>
  </si>
  <si>
    <t>ratio multiplier</t>
  </si>
  <si>
    <t>mortal diff</t>
  </si>
  <si>
    <t>N. successions&gt;0</t>
  </si>
  <si>
    <t>(je touche uniquement aux années avec âges complets, i.e. 1807,1817,1827,1877,1887,1902; les années 1837-1867 sont calées dans le tableau de résultats correspondants)</t>
  </si>
  <si>
    <t>(je n'utilise pas les âges complets 1812,1822,1832, on verra plus tard avec le papier cohortes)</t>
  </si>
  <si>
    <t>(note: le % de décès avec succ&gt;0 a le même profil par âge sur toute la période: de 10% pour les jeunes à 30-40% pour les vieux; plus important: pour les</t>
  </si>
  <si>
    <t>quinquas et au-delà, % stabel autour de 30%, peut-être légèrement croissant de 30% à 40% en fin de période = cela ne peut faire que renforcer l'évolution</t>
  </si>
  <si>
    <t>du profil de succ moyenne par tranche d'âge, que je n'ai calculé pour l'instant que pour les succ&gt;0)</t>
  </si>
  <si>
    <t>(pas de décès ni vivants par tranche d'âge pour 1807: je prend les chiffres de 1817, rescalé avec les estimations agrégées disponibles de pop et décès 1807)</t>
  </si>
  <si>
    <t>(19/6/2007) Rien à tirer de ces vieux estate multipliers: calculs effectués avec ages incomplets dans les fichiers, multiples rafistolages &gt;P95 etc., et</t>
  </si>
  <si>
    <t>en plus je ne retrouve même pas la trace des données démographiques utilisées &gt;&gt;&gt; je reprend tout à zéro</t>
  </si>
</sst>
</file>

<file path=xl/styles.xml><?xml version="1.0" encoding="utf-8"?>
<styleSheet xmlns="http://schemas.openxmlformats.org/spreadsheetml/2006/main">
  <numFmts count="6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"/>
    <numFmt numFmtId="165" formatCode="0.0000"/>
    <numFmt numFmtId="166" formatCode="0.000"/>
    <numFmt numFmtId="167" formatCode="0.000000"/>
    <numFmt numFmtId="168" formatCode="0.0"/>
    <numFmt numFmtId="169" formatCode="0.00000000"/>
    <numFmt numFmtId="170" formatCode="0.0000000"/>
    <numFmt numFmtId="171" formatCode="#,##0.0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00E+00;\ĝ"/>
    <numFmt numFmtId="182" formatCode="0.000000E+00;\幌"/>
    <numFmt numFmtId="183" formatCode="0.0000000E+00;\幌"/>
    <numFmt numFmtId="184" formatCode="0.00000000E+00;\幌"/>
    <numFmt numFmtId="185" formatCode="0.000000000E+00;\幌"/>
    <numFmt numFmtId="186" formatCode="0.0000000000E+00;\幌"/>
    <numFmt numFmtId="187" formatCode="0.00000000000E+00;\幌"/>
    <numFmt numFmtId="188" formatCode="0.000000000000E+00;\幌"/>
    <numFmt numFmtId="189" formatCode="0.0000000000000E+00;\幌"/>
    <numFmt numFmtId="190" formatCode="0.00000000000000E+00;\幌"/>
    <numFmt numFmtId="191" formatCode="0.000000000000000E+00;\幌"/>
    <numFmt numFmtId="192" formatCode="0.0000000000000000E+00;\幌"/>
    <numFmt numFmtId="193" formatCode="0.00000E+00;\幌"/>
    <numFmt numFmtId="194" formatCode="0.0000E+00;\幌"/>
    <numFmt numFmtId="195" formatCode="_-* #,##0.0\ _F_-;\-* #,##0.0\ _F_-;_-* &quot;-&quot;??\ _F_-;_-@_-"/>
    <numFmt numFmtId="196" formatCode="_-* #,##0\ _F_-;\-* #,##0\ _F_-;_-* &quot;-&quot;??\ _F_-;_-@_-"/>
    <numFmt numFmtId="197" formatCode="0.0%"/>
    <numFmt numFmtId="198" formatCode="0.00000E+00"/>
    <numFmt numFmtId="199" formatCode="0.0000E+00"/>
    <numFmt numFmtId="200" formatCode="0.000E+00"/>
    <numFmt numFmtId="201" formatCode="0.0E+00"/>
    <numFmt numFmtId="202" formatCode="0E+00"/>
    <numFmt numFmtId="203" formatCode="0.000000000"/>
    <numFmt numFmtId="204" formatCode="0.000E+00;\༄"/>
    <numFmt numFmtId="205" formatCode="0.000E+00;\⯄"/>
    <numFmt numFmtId="206" formatCode="0.0000E+00;\⯄"/>
    <numFmt numFmtId="207" formatCode="0.00E+00;\⯄"/>
    <numFmt numFmtId="208" formatCode="0.0E+00;\ĝ"/>
    <numFmt numFmtId="209" formatCode="0.0E+00;\֬"/>
    <numFmt numFmtId="210" formatCode="0.00E+00;\֬"/>
    <numFmt numFmtId="211" formatCode="0.000E+00;\֬"/>
    <numFmt numFmtId="212" formatCode="0.0000E+00;\֬"/>
    <numFmt numFmtId="213" formatCode="0.00000E+00;\֬"/>
    <numFmt numFmtId="214" formatCode="0.00E+00;\༄"/>
    <numFmt numFmtId="215" formatCode="0.0E+00;\༄"/>
    <numFmt numFmtId="216" formatCode="0E+00;\༄"/>
    <numFmt numFmtId="217" formatCode="\$#,##0\ ;\(\$#,##0\)"/>
    <numFmt numFmtId="218" formatCode="\$#,##0\ ;[Red]\(\$#,##0\)"/>
    <numFmt numFmtId="219" formatCode="\$#,##0.00\ ;\(\$#,##0.00\)"/>
    <numFmt numFmtId="220" formatCode="\$#,##0.00\ ;[Red]\(\$#,##0.00\)"/>
    <numFmt numFmtId="221" formatCode="m/d"/>
    <numFmt numFmtId="222" formatCode="0.0000000000"/>
    <numFmt numFmtId="223" formatCode="0.00000000000"/>
  </numFmts>
  <fonts count="2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0"/>
    </font>
    <font>
      <strike/>
      <sz val="10"/>
      <name val="Arial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vertAlign val="subscript"/>
      <sz val="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1" applyNumberFormat="0" applyFont="0" applyFill="0" applyAlignment="0" applyProtection="0"/>
    <xf numFmtId="2" fontId="1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7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71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1" fontId="1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15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Total" xfId="27"/>
    <cellStyle name="Virgule fix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2154"/>
  <sheetViews>
    <sheetView workbookViewId="0" topLeftCell="A340">
      <selection activeCell="A65" sqref="A65"/>
    </sheetView>
  </sheetViews>
  <sheetFormatPr defaultColWidth="11.421875" defaultRowHeight="12.75"/>
  <cols>
    <col min="1" max="1" width="12.7109375" style="0" customWidth="1"/>
    <col min="2" max="8" width="11.7109375" style="0" customWidth="1"/>
    <col min="9" max="9" width="10.7109375" style="0" customWidth="1"/>
    <col min="10" max="10" width="8.7109375" style="0" customWidth="1"/>
    <col min="11" max="11" width="12.7109375" style="0" customWidth="1"/>
    <col min="12" max="54" width="8.7109375" style="0" customWidth="1"/>
    <col min="55" max="125" width="9.7109375" style="0" customWidth="1"/>
  </cols>
  <sheetData>
    <row r="1" spans="1:2" ht="12.75">
      <c r="A1" t="s">
        <v>73</v>
      </c>
      <c r="B1" s="1" t="s">
        <v>80</v>
      </c>
    </row>
    <row r="2" spans="1:2" ht="12.75">
      <c r="A2" t="s">
        <v>197</v>
      </c>
      <c r="B2" s="1"/>
    </row>
    <row r="3" ht="12.75">
      <c r="A3" t="s">
        <v>166</v>
      </c>
    </row>
    <row r="4" ht="12.75">
      <c r="A4" t="s">
        <v>282</v>
      </c>
    </row>
    <row r="6" ht="12.75">
      <c r="A6" s="9" t="s">
        <v>81</v>
      </c>
    </row>
    <row r="8" spans="2:6" ht="12.75">
      <c r="B8" s="68" t="s">
        <v>79</v>
      </c>
      <c r="C8" s="68"/>
      <c r="D8" s="68"/>
      <c r="E8" s="68"/>
      <c r="F8" s="68"/>
    </row>
    <row r="9" spans="2:8" ht="12.75">
      <c r="B9" s="13" t="s">
        <v>29</v>
      </c>
      <c r="C9" s="13" t="s">
        <v>77</v>
      </c>
      <c r="D9" s="13" t="s">
        <v>6</v>
      </c>
      <c r="E9" s="19" t="s">
        <v>116</v>
      </c>
      <c r="F9" s="19" t="s">
        <v>6</v>
      </c>
      <c r="G9" s="13" t="s">
        <v>76</v>
      </c>
      <c r="H9" s="13" t="s">
        <v>32</v>
      </c>
    </row>
    <row r="10" spans="1:56" ht="12.75">
      <c r="A10" s="13">
        <v>1807</v>
      </c>
      <c r="B10" s="11">
        <v>803200</v>
      </c>
      <c r="C10" s="28">
        <f>B10*D10/100</f>
        <v>472522.56</v>
      </c>
      <c r="D10" s="48">
        <v>58.83</v>
      </c>
      <c r="E10" s="11" t="s">
        <v>83</v>
      </c>
      <c r="F10" s="11" t="s">
        <v>83</v>
      </c>
      <c r="G10" s="14">
        <f>G99+G55</f>
        <v>786286.5825855563</v>
      </c>
      <c r="H10" s="14">
        <f aca="true" t="shared" si="0" ref="H10:H18">1000*G10/C10</f>
        <v>1664.0191371721094</v>
      </c>
      <c r="I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ht="12.75">
      <c r="A11" s="13">
        <v>1817</v>
      </c>
      <c r="B11" s="11">
        <v>750600</v>
      </c>
      <c r="C11" s="28">
        <f aca="true" t="shared" si="1" ref="C11:C31">B11*D11/100</f>
        <v>472558.995</v>
      </c>
      <c r="D11" s="48">
        <v>62.9575</v>
      </c>
      <c r="E11" s="11" t="s">
        <v>83</v>
      </c>
      <c r="F11" s="11" t="s">
        <v>83</v>
      </c>
      <c r="G11" s="14">
        <f>G100+G56</f>
        <v>728095.0559014132</v>
      </c>
      <c r="H11" s="14">
        <f t="shared" si="0"/>
        <v>1540.7495436657875</v>
      </c>
      <c r="I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8" ht="12.75">
      <c r="A12" s="13">
        <v>1827</v>
      </c>
      <c r="B12" s="11">
        <v>791600</v>
      </c>
      <c r="C12" s="28">
        <f t="shared" si="1"/>
        <v>497884.7359999999</v>
      </c>
      <c r="D12" s="48">
        <v>62.895999999999994</v>
      </c>
      <c r="E12" s="11" t="s">
        <v>83</v>
      </c>
      <c r="F12" s="11" t="s">
        <v>83</v>
      </c>
      <c r="G12" s="11">
        <v>1360000</v>
      </c>
      <c r="H12" s="11">
        <f t="shared" si="0"/>
        <v>2731.5559238192836</v>
      </c>
    </row>
    <row r="13" spans="1:8" ht="12.75">
      <c r="A13" s="13">
        <v>1837</v>
      </c>
      <c r="B13" s="11">
        <v>853100</v>
      </c>
      <c r="C13" s="28">
        <f t="shared" si="1"/>
        <v>549660.861</v>
      </c>
      <c r="D13" s="48">
        <v>64.431</v>
      </c>
      <c r="E13" s="11" t="s">
        <v>83</v>
      </c>
      <c r="F13" s="11" t="s">
        <v>83</v>
      </c>
      <c r="G13" s="11">
        <v>1676000</v>
      </c>
      <c r="H13" s="11">
        <f t="shared" si="0"/>
        <v>3049.1528848367466</v>
      </c>
    </row>
    <row r="14" spans="1:56" ht="12.75">
      <c r="A14" s="13">
        <v>1847</v>
      </c>
      <c r="B14" s="11">
        <v>849100</v>
      </c>
      <c r="C14" s="28">
        <f t="shared" si="1"/>
        <v>558686.5725</v>
      </c>
      <c r="D14" s="48">
        <v>65.7975</v>
      </c>
      <c r="E14" s="11" t="s">
        <v>83</v>
      </c>
      <c r="F14" s="11" t="s">
        <v>83</v>
      </c>
      <c r="G14" s="11">
        <v>2055000</v>
      </c>
      <c r="H14" s="11">
        <f t="shared" si="0"/>
        <v>3678.2698943422342</v>
      </c>
      <c r="I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>
      <c r="A15" s="13">
        <v>1857</v>
      </c>
      <c r="B15" s="11">
        <v>858800</v>
      </c>
      <c r="C15" s="28">
        <f t="shared" si="1"/>
        <v>540468.6039999999</v>
      </c>
      <c r="D15" s="48">
        <v>62.93299999999999</v>
      </c>
      <c r="E15" s="11" t="s">
        <v>83</v>
      </c>
      <c r="F15" s="11" t="s">
        <v>83</v>
      </c>
      <c r="G15" s="11">
        <v>2241000</v>
      </c>
      <c r="H15" s="11">
        <f t="shared" si="0"/>
        <v>4146.401813934043</v>
      </c>
      <c r="I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8" ht="12.75">
      <c r="A16" s="13">
        <v>1867</v>
      </c>
      <c r="B16" s="11">
        <v>866900</v>
      </c>
      <c r="C16" s="28">
        <f t="shared" si="1"/>
        <v>580146.818</v>
      </c>
      <c r="D16" s="48">
        <v>66.922</v>
      </c>
      <c r="E16" s="11" t="s">
        <v>83</v>
      </c>
      <c r="F16" s="11" t="s">
        <v>83</v>
      </c>
      <c r="G16" s="11">
        <v>3322000</v>
      </c>
      <c r="H16" s="11">
        <f t="shared" si="0"/>
        <v>5726.136724238657</v>
      </c>
    </row>
    <row r="17" spans="1:8" ht="12.75">
      <c r="A17" s="13">
        <v>1877</v>
      </c>
      <c r="B17" s="11">
        <v>802000</v>
      </c>
      <c r="C17" s="28">
        <f t="shared" si="1"/>
        <v>559555.4</v>
      </c>
      <c r="D17" s="48">
        <v>69.77</v>
      </c>
      <c r="E17" s="11" t="s">
        <v>83</v>
      </c>
      <c r="F17" s="11" t="s">
        <v>83</v>
      </c>
      <c r="G17" s="11">
        <v>4438000</v>
      </c>
      <c r="H17" s="11">
        <f t="shared" si="0"/>
        <v>7931.296883204058</v>
      </c>
    </row>
    <row r="18" spans="1:8" ht="12.75">
      <c r="A18" s="13">
        <v>1887</v>
      </c>
      <c r="B18" s="11">
        <v>842800</v>
      </c>
      <c r="C18" s="28">
        <f t="shared" si="1"/>
        <v>583976.1200000001</v>
      </c>
      <c r="D18" s="48">
        <v>69.29</v>
      </c>
      <c r="E18" s="11" t="s">
        <v>83</v>
      </c>
      <c r="F18" s="11" t="s">
        <v>83</v>
      </c>
      <c r="G18" s="11">
        <v>5409000</v>
      </c>
      <c r="H18" s="11">
        <f t="shared" si="0"/>
        <v>9262.365043282933</v>
      </c>
    </row>
    <row r="19" spans="1:66" ht="12.75">
      <c r="A19" s="13" t="s">
        <v>122</v>
      </c>
      <c r="B19" s="11">
        <v>766960</v>
      </c>
      <c r="C19" s="28">
        <f t="shared" si="1"/>
        <v>559810</v>
      </c>
      <c r="D19" s="12">
        <v>72.99076874934808</v>
      </c>
      <c r="E19" s="11">
        <v>363612</v>
      </c>
      <c r="F19" s="12">
        <f aca="true" t="shared" si="2" ref="F19:F32">100*E19/C19</f>
        <v>64.95275182651257</v>
      </c>
      <c r="G19" s="11">
        <v>5375000</v>
      </c>
      <c r="H19" s="11">
        <f aca="true" t="shared" si="3" ref="H19:H32">1000*G19/C19</f>
        <v>9601.471927975563</v>
      </c>
      <c r="I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3"/>
      <c r="BJ19" s="13"/>
      <c r="BK19" s="13"/>
      <c r="BL19" s="13"/>
      <c r="BM19" s="13"/>
      <c r="BN19" s="13"/>
    </row>
    <row r="20" spans="1:66" ht="12.75">
      <c r="A20" s="13" t="s">
        <v>123</v>
      </c>
      <c r="B20" s="11">
        <v>766960</v>
      </c>
      <c r="C20" s="28">
        <f t="shared" si="1"/>
        <v>559810</v>
      </c>
      <c r="D20" s="12">
        <v>72.99076874934808</v>
      </c>
      <c r="E20" s="11">
        <v>363612</v>
      </c>
      <c r="F20" s="12">
        <f>100*E20/C20</f>
        <v>64.95275182651257</v>
      </c>
      <c r="G20" s="11">
        <v>4772126</v>
      </c>
      <c r="H20" s="11">
        <f>1000*G20/C20</f>
        <v>8524.545828048802</v>
      </c>
      <c r="I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3"/>
      <c r="BJ20" s="13"/>
      <c r="BK20" s="13"/>
      <c r="BL20" s="13"/>
      <c r="BM20" s="13"/>
      <c r="BN20" s="13"/>
    </row>
    <row r="21" spans="1:66" ht="12.75">
      <c r="A21" s="13"/>
      <c r="B21" s="11"/>
      <c r="C21" s="14"/>
      <c r="D21" s="12"/>
      <c r="E21" s="11"/>
      <c r="F21" s="12"/>
      <c r="G21" s="11"/>
      <c r="H21" s="11"/>
      <c r="I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3"/>
      <c r="BJ21" s="13"/>
      <c r="BK21" s="13"/>
      <c r="BL21" s="13"/>
      <c r="BM21" s="13"/>
      <c r="BN21" s="13"/>
    </row>
    <row r="22" spans="1:66" ht="12.75">
      <c r="A22" s="13">
        <v>1902</v>
      </c>
      <c r="B22" s="11">
        <v>766960</v>
      </c>
      <c r="C22" s="28">
        <f t="shared" si="1"/>
        <v>559810</v>
      </c>
      <c r="D22" s="12">
        <v>72.99076874934808</v>
      </c>
      <c r="E22" s="11">
        <v>363612</v>
      </c>
      <c r="F22" s="12">
        <f>100*E22/C22</f>
        <v>64.95275182651257</v>
      </c>
      <c r="G22" s="11">
        <v>4772126</v>
      </c>
      <c r="H22" s="11">
        <f>1000*G22/C22</f>
        <v>8524.545828048802</v>
      </c>
      <c r="I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3"/>
      <c r="BJ22" s="13"/>
      <c r="BK22" s="13"/>
      <c r="BL22" s="13"/>
      <c r="BM22" s="13"/>
      <c r="BN22" s="13"/>
    </row>
    <row r="23" spans="1:66" ht="12.75">
      <c r="A23" s="13">
        <v>1903</v>
      </c>
      <c r="B23" s="11">
        <v>758974</v>
      </c>
      <c r="C23" s="28">
        <f t="shared" si="1"/>
        <v>555829.0000000001</v>
      </c>
      <c r="D23" s="12">
        <v>73.2342609891775</v>
      </c>
      <c r="E23" s="11">
        <v>386032</v>
      </c>
      <c r="F23" s="12">
        <f t="shared" si="2"/>
        <v>69.4515759343251</v>
      </c>
      <c r="G23" s="11">
        <v>4923948</v>
      </c>
      <c r="H23" s="11">
        <f t="shared" si="3"/>
        <v>8858.746125157195</v>
      </c>
      <c r="I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3"/>
      <c r="BJ23" s="13"/>
      <c r="BK23" s="13"/>
      <c r="BL23" s="13"/>
      <c r="BM23" s="13"/>
      <c r="BN23" s="13"/>
    </row>
    <row r="24" spans="1:66" ht="12.75">
      <c r="A24" s="13">
        <v>1904</v>
      </c>
      <c r="B24" s="11">
        <v>766516</v>
      </c>
      <c r="C24" s="28">
        <f t="shared" si="1"/>
        <v>560314</v>
      </c>
      <c r="D24" s="12">
        <v>73.09880028596925</v>
      </c>
      <c r="E24" s="11">
        <v>381601</v>
      </c>
      <c r="F24" s="12">
        <f t="shared" si="2"/>
        <v>68.10484835288784</v>
      </c>
      <c r="G24" s="11">
        <v>5273806</v>
      </c>
      <c r="H24" s="11">
        <f t="shared" si="3"/>
        <v>9412.233140703249</v>
      </c>
      <c r="I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3"/>
      <c r="BJ24" s="13"/>
      <c r="BK24" s="13"/>
      <c r="BL24" s="13"/>
      <c r="BM24" s="13"/>
      <c r="BN24" s="13"/>
    </row>
    <row r="25" spans="1:66" ht="12.75">
      <c r="A25" s="13">
        <v>1905</v>
      </c>
      <c r="B25" s="11">
        <v>775384</v>
      </c>
      <c r="C25" s="28">
        <f t="shared" si="1"/>
        <v>580460</v>
      </c>
      <c r="D25" s="12">
        <v>74.86097211188263</v>
      </c>
      <c r="E25" s="11">
        <v>385019</v>
      </c>
      <c r="F25" s="12">
        <f t="shared" si="2"/>
        <v>66.32997967129518</v>
      </c>
      <c r="G25" s="11">
        <v>5746889</v>
      </c>
      <c r="H25" s="11">
        <f t="shared" si="3"/>
        <v>9900.577128484305</v>
      </c>
      <c r="I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3"/>
      <c r="BJ25" s="13"/>
      <c r="BK25" s="13"/>
      <c r="BL25" s="13"/>
      <c r="BM25" s="13"/>
      <c r="BN25" s="13"/>
    </row>
    <row r="26" spans="1:66" ht="12.75">
      <c r="A26" s="13">
        <v>1907</v>
      </c>
      <c r="B26" s="11">
        <v>796804</v>
      </c>
      <c r="C26" s="28">
        <f t="shared" si="1"/>
        <v>612299.9999999999</v>
      </c>
      <c r="D26" s="12">
        <v>76.8444937525414</v>
      </c>
      <c r="E26" s="11">
        <v>401574</v>
      </c>
      <c r="F26" s="12">
        <f t="shared" si="2"/>
        <v>65.58451739343461</v>
      </c>
      <c r="G26" s="11">
        <v>5461843</v>
      </c>
      <c r="H26" s="11">
        <f t="shared" si="3"/>
        <v>8920.207414666014</v>
      </c>
      <c r="I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3"/>
      <c r="BJ26" s="13"/>
      <c r="BK26" s="13"/>
      <c r="BL26" s="13"/>
      <c r="BM26" s="13"/>
      <c r="BN26" s="13"/>
    </row>
    <row r="27" spans="1:66" ht="12.75">
      <c r="A27" s="13">
        <v>1909</v>
      </c>
      <c r="B27" s="11">
        <v>759914</v>
      </c>
      <c r="C27" s="28">
        <f t="shared" si="1"/>
        <v>594163</v>
      </c>
      <c r="D27" s="12">
        <v>78.18818971620473</v>
      </c>
      <c r="E27" s="11">
        <v>379418</v>
      </c>
      <c r="F27" s="12">
        <f t="shared" si="2"/>
        <v>63.85756097232578</v>
      </c>
      <c r="G27" s="11">
        <v>5740436</v>
      </c>
      <c r="H27" s="11">
        <f t="shared" si="3"/>
        <v>9661.382482584746</v>
      </c>
      <c r="I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3"/>
      <c r="BJ27" s="13"/>
      <c r="BK27" s="13"/>
      <c r="BL27" s="13"/>
      <c r="BM27" s="13"/>
      <c r="BN27" s="13"/>
    </row>
    <row r="28" spans="1:66" ht="12.75">
      <c r="A28" s="13">
        <v>1910</v>
      </c>
      <c r="B28" s="11">
        <v>707919</v>
      </c>
      <c r="C28" s="28">
        <f t="shared" si="1"/>
        <v>549464</v>
      </c>
      <c r="D28" s="12">
        <v>77.61678949145312</v>
      </c>
      <c r="E28" s="11">
        <v>359836</v>
      </c>
      <c r="F28" s="12">
        <f t="shared" si="2"/>
        <v>65.48854884032438</v>
      </c>
      <c r="G28" s="11">
        <v>5319982</v>
      </c>
      <c r="H28" s="11">
        <f t="shared" si="3"/>
        <v>9682.130221452178</v>
      </c>
      <c r="I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3"/>
      <c r="BJ28" s="13"/>
      <c r="BK28" s="13"/>
      <c r="BL28" s="13"/>
      <c r="BM28" s="13"/>
      <c r="BN28" s="13"/>
    </row>
    <row r="29" spans="1:66" ht="12.75">
      <c r="A29" s="13">
        <v>1911</v>
      </c>
      <c r="B29" s="11">
        <v>780114</v>
      </c>
      <c r="C29" s="28">
        <f t="shared" si="1"/>
        <v>583163</v>
      </c>
      <c r="D29" s="12">
        <v>74.75356165893703</v>
      </c>
      <c r="E29" s="11">
        <v>359113</v>
      </c>
      <c r="F29" s="12">
        <f t="shared" si="2"/>
        <v>61.580209992746454</v>
      </c>
      <c r="G29" s="11">
        <v>5761725</v>
      </c>
      <c r="H29" s="11">
        <f t="shared" si="3"/>
        <v>9880.127854476365</v>
      </c>
      <c r="I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3"/>
      <c r="BJ29" s="13"/>
      <c r="BK29" s="13"/>
      <c r="BL29" s="13"/>
      <c r="BM29" s="13"/>
      <c r="BN29" s="13"/>
    </row>
    <row r="30" spans="1:66" ht="12.75">
      <c r="A30" s="13">
        <v>1912</v>
      </c>
      <c r="B30" s="11">
        <v>697139</v>
      </c>
      <c r="C30" s="28">
        <f t="shared" si="1"/>
        <v>546776</v>
      </c>
      <c r="D30" s="12">
        <v>78.43141755087579</v>
      </c>
      <c r="E30" s="11">
        <v>358921</v>
      </c>
      <c r="F30" s="12">
        <f t="shared" si="2"/>
        <v>65.6431518574334</v>
      </c>
      <c r="G30" s="11">
        <v>5577146</v>
      </c>
      <c r="H30" s="11">
        <f t="shared" si="3"/>
        <v>10200.056330197374</v>
      </c>
      <c r="I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3"/>
      <c r="BJ30" s="13"/>
      <c r="BK30" s="13"/>
      <c r="BL30" s="13"/>
      <c r="BM30" s="13"/>
      <c r="BN30" s="13"/>
    </row>
    <row r="31" spans="1:66" ht="12.75">
      <c r="A31" s="13">
        <v>1913</v>
      </c>
      <c r="B31" s="11">
        <v>706983</v>
      </c>
      <c r="C31" s="28">
        <f t="shared" si="1"/>
        <v>551114</v>
      </c>
      <c r="D31" s="12">
        <v>77.95293521909296</v>
      </c>
      <c r="E31" s="11">
        <v>360539</v>
      </c>
      <c r="F31" s="12">
        <f t="shared" si="2"/>
        <v>65.42004013688639</v>
      </c>
      <c r="G31" s="11">
        <v>5531523</v>
      </c>
      <c r="H31" s="11">
        <f t="shared" si="3"/>
        <v>10036.985088384617</v>
      </c>
      <c r="I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0"/>
      <c r="BJ31" s="10"/>
      <c r="BK31" s="10"/>
      <c r="BL31" s="13"/>
      <c r="BM31" s="13"/>
      <c r="BN31" s="13"/>
    </row>
    <row r="32" spans="1:66" ht="12.75">
      <c r="A32" s="13" t="s">
        <v>74</v>
      </c>
      <c r="B32" s="11">
        <f>AVERAGE(B22:B31)</f>
        <v>751670.7</v>
      </c>
      <c r="C32" s="11">
        <f>AVERAGE(C22:C31)</f>
        <v>569339.3</v>
      </c>
      <c r="D32" s="12">
        <f>100*C32/B32</f>
        <v>75.74318115632286</v>
      </c>
      <c r="E32" s="11">
        <f>AVERAGE(E19:E31)</f>
        <v>371907.4166666667</v>
      </c>
      <c r="F32" s="12">
        <f t="shared" si="2"/>
        <v>65.32263215742645</v>
      </c>
      <c r="G32" s="11">
        <f>AVERAGE(G19:G31)</f>
        <v>5354712.5</v>
      </c>
      <c r="H32" s="11">
        <f t="shared" si="3"/>
        <v>9405.13416165018</v>
      </c>
      <c r="I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3"/>
      <c r="BJ32" s="13"/>
      <c r="BK32" s="13"/>
      <c r="BL32" s="13"/>
      <c r="BM32" s="13"/>
      <c r="BN32" s="13"/>
    </row>
    <row r="33" spans="1:66" ht="12.75">
      <c r="A33" s="13" t="s">
        <v>119</v>
      </c>
      <c r="B33" s="11">
        <f>B32</f>
        <v>751670.7</v>
      </c>
      <c r="C33" s="11">
        <f>C32</f>
        <v>569339.3</v>
      </c>
      <c r="D33" s="12">
        <f>100*C33/B33</f>
        <v>75.74318115632286</v>
      </c>
      <c r="E33" s="11">
        <f>AVERAGE(E23:E32)</f>
        <v>374396.0416666666</v>
      </c>
      <c r="F33" s="12">
        <f>100*E33/C33</f>
        <v>65.75973969593643</v>
      </c>
      <c r="G33" s="11">
        <v>5816807.45895732</v>
      </c>
      <c r="H33" s="11">
        <f>1000*G33/C33</f>
        <v>10216.767855226786</v>
      </c>
      <c r="I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3"/>
      <c r="BJ33" s="13"/>
      <c r="BK33" s="13"/>
      <c r="BL33" s="13"/>
      <c r="BM33" s="13"/>
      <c r="BN33" s="13"/>
    </row>
    <row r="34" spans="1:66" ht="12.75">
      <c r="A34" s="13"/>
      <c r="B34" s="11"/>
      <c r="C34" s="14"/>
      <c r="D34" s="12"/>
      <c r="E34" s="11"/>
      <c r="F34" s="12"/>
      <c r="G34" s="11"/>
      <c r="H34" s="11"/>
      <c r="I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3"/>
      <c r="BJ34" s="13"/>
      <c r="BK34" s="13"/>
      <c r="BL34" s="13"/>
      <c r="BM34" s="13"/>
      <c r="BN34" s="13"/>
    </row>
    <row r="35" spans="1:66" ht="12.75">
      <c r="A35" s="13"/>
      <c r="B35" s="11" t="s">
        <v>130</v>
      </c>
      <c r="C35" s="11" t="s">
        <v>130</v>
      </c>
      <c r="D35" s="11" t="s">
        <v>130</v>
      </c>
      <c r="E35" s="11"/>
      <c r="F35" s="12"/>
      <c r="G35" s="11" t="s">
        <v>130</v>
      </c>
      <c r="H35" s="11" t="s">
        <v>130</v>
      </c>
      <c r="I35" s="11" t="s">
        <v>131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3"/>
      <c r="BJ35" s="13"/>
      <c r="BK35" s="13"/>
      <c r="BL35" s="13"/>
      <c r="BM35" s="13"/>
      <c r="BN35" s="13"/>
    </row>
    <row r="36" spans="1:66" ht="12.75">
      <c r="A36" s="13" t="s">
        <v>117</v>
      </c>
      <c r="B36" s="17">
        <f aca="true" t="shared" si="4" ref="B36:B41">B11/B10</f>
        <v>0.9345119521912351</v>
      </c>
      <c r="C36" s="17">
        <f aca="true" t="shared" si="5" ref="C36:H36">C11/C10</f>
        <v>1.0000771074295374</v>
      </c>
      <c r="D36" s="17">
        <f t="shared" si="5"/>
        <v>1.0701597824239335</v>
      </c>
      <c r="E36" s="17"/>
      <c r="F36" s="17"/>
      <c r="G36" s="17">
        <f t="shared" si="5"/>
        <v>0.9259919627614767</v>
      </c>
      <c r="H36" s="17">
        <f t="shared" si="5"/>
        <v>0.9259205674065683</v>
      </c>
      <c r="I36" s="12">
        <f aca="true" t="shared" si="6" ref="I36:I41">100*(H36^(1/10)-1)</f>
        <v>-0.7667139216588237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3"/>
      <c r="BJ36" s="13"/>
      <c r="BK36" s="13"/>
      <c r="BL36" s="13"/>
      <c r="BM36" s="13"/>
      <c r="BN36" s="13"/>
    </row>
    <row r="37" spans="1:66" ht="12.75">
      <c r="A37" s="13" t="s">
        <v>118</v>
      </c>
      <c r="B37" s="17">
        <f t="shared" si="4"/>
        <v>1.054622968292033</v>
      </c>
      <c r="C37" s="17">
        <f aca="true" t="shared" si="7" ref="C37:D41">C12/C11</f>
        <v>1.0535927604129087</v>
      </c>
      <c r="D37" s="17">
        <f t="shared" si="7"/>
        <v>0.9990231505380612</v>
      </c>
      <c r="E37" s="17"/>
      <c r="F37" s="17"/>
      <c r="G37" s="17">
        <f aca="true" t="shared" si="8" ref="G37:H41">G12/G11</f>
        <v>1.8678879755834368</v>
      </c>
      <c r="H37" s="17">
        <f t="shared" si="8"/>
        <v>1.7728747251940127</v>
      </c>
      <c r="I37" s="12">
        <f t="shared" si="6"/>
        <v>5.893134740726236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3"/>
      <c r="BJ37" s="13"/>
      <c r="BK37" s="13"/>
      <c r="BL37" s="13"/>
      <c r="BM37" s="13"/>
      <c r="BN37" s="13"/>
    </row>
    <row r="38" spans="1:66" ht="12.75">
      <c r="A38" s="13" t="s">
        <v>120</v>
      </c>
      <c r="B38" s="17">
        <f t="shared" si="4"/>
        <v>1.0776907529055078</v>
      </c>
      <c r="C38" s="17">
        <f t="shared" si="7"/>
        <v>1.103992191879528</v>
      </c>
      <c r="D38" s="17">
        <f t="shared" si="7"/>
        <v>1.024405367590944</v>
      </c>
      <c r="E38" s="17"/>
      <c r="F38" s="17"/>
      <c r="G38" s="17">
        <f t="shared" si="8"/>
        <v>1.2323529411764707</v>
      </c>
      <c r="H38" s="17">
        <f t="shared" si="8"/>
        <v>1.116269616978369</v>
      </c>
      <c r="I38" s="12">
        <f t="shared" si="6"/>
        <v>1.1059956774277957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3"/>
      <c r="BJ38" s="13"/>
      <c r="BK38" s="13"/>
      <c r="BL38" s="13"/>
      <c r="BM38" s="13"/>
      <c r="BN38" s="13"/>
    </row>
    <row r="39" spans="1:66" ht="12.75">
      <c r="A39" s="13" t="s">
        <v>195</v>
      </c>
      <c r="B39" s="17">
        <f t="shared" si="4"/>
        <v>0.9953112179111476</v>
      </c>
      <c r="C39" s="17">
        <f t="shared" si="7"/>
        <v>1.016420509700435</v>
      </c>
      <c r="D39" s="17">
        <f t="shared" si="7"/>
        <v>1.0212087349257346</v>
      </c>
      <c r="E39" s="17"/>
      <c r="F39" s="17"/>
      <c r="G39" s="17">
        <f t="shared" si="8"/>
        <v>1.2261336515513126</v>
      </c>
      <c r="H39" s="17">
        <f t="shared" si="8"/>
        <v>1.2063251772759735</v>
      </c>
      <c r="I39" s="12">
        <f t="shared" si="6"/>
        <v>1.8934903514371992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3"/>
      <c r="BJ39" s="13"/>
      <c r="BK39" s="13"/>
      <c r="BL39" s="13"/>
      <c r="BM39" s="13"/>
      <c r="BN39" s="13"/>
    </row>
    <row r="40" spans="1:66" ht="12.75">
      <c r="A40" s="13" t="s">
        <v>222</v>
      </c>
      <c r="B40" s="17">
        <f t="shared" si="4"/>
        <v>1.0114238605582382</v>
      </c>
      <c r="C40" s="17">
        <f t="shared" si="7"/>
        <v>0.9673914330561434</v>
      </c>
      <c r="D40" s="17">
        <f t="shared" si="7"/>
        <v>0.9564649112808237</v>
      </c>
      <c r="E40" s="17"/>
      <c r="F40" s="17"/>
      <c r="G40" s="17">
        <f t="shared" si="8"/>
        <v>1.0905109489051095</v>
      </c>
      <c r="H40" s="17">
        <f t="shared" si="8"/>
        <v>1.1272695949560065</v>
      </c>
      <c r="I40" s="12">
        <f t="shared" si="6"/>
        <v>1.2051887833947506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3"/>
      <c r="BJ40" s="13"/>
      <c r="BK40" s="13"/>
      <c r="BL40" s="13"/>
      <c r="BM40" s="13"/>
      <c r="BN40" s="13"/>
    </row>
    <row r="41" spans="1:66" ht="12.75">
      <c r="A41" s="13" t="s">
        <v>223</v>
      </c>
      <c r="B41" s="17">
        <f t="shared" si="4"/>
        <v>1.0094317652538425</v>
      </c>
      <c r="C41" s="17">
        <f t="shared" si="7"/>
        <v>1.0734144660880247</v>
      </c>
      <c r="D41" s="17">
        <f t="shared" si="7"/>
        <v>1.0633848696232502</v>
      </c>
      <c r="E41" s="17"/>
      <c r="F41" s="17"/>
      <c r="G41" s="17">
        <f t="shared" si="8"/>
        <v>1.4823739402052656</v>
      </c>
      <c r="H41" s="17">
        <f t="shared" si="8"/>
        <v>1.3809893447846495</v>
      </c>
      <c r="I41" s="12">
        <f t="shared" si="6"/>
        <v>3.2806667087880825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3"/>
      <c r="BJ41" s="13"/>
      <c r="BK41" s="13"/>
      <c r="BL41" s="13"/>
      <c r="BM41" s="13"/>
      <c r="BN41" s="13"/>
    </row>
    <row r="42" spans="1:66" ht="12.75">
      <c r="A42" s="13" t="s">
        <v>124</v>
      </c>
      <c r="B42" s="17">
        <f>B19/B16</f>
        <v>0.8847156534779098</v>
      </c>
      <c r="C42" s="17">
        <f aca="true" t="shared" si="9" ref="C42:H42">C19/C16</f>
        <v>0.9649453942191578</v>
      </c>
      <c r="D42" s="17">
        <f t="shared" si="9"/>
        <v>1.0906842107131898</v>
      </c>
      <c r="E42" s="17"/>
      <c r="F42" s="17"/>
      <c r="G42" s="17">
        <f t="shared" si="9"/>
        <v>1.6180012040939193</v>
      </c>
      <c r="H42" s="17">
        <f t="shared" si="9"/>
        <v>1.6767800683718685</v>
      </c>
      <c r="I42" s="12">
        <f>100*(H42^(1/35)-1)</f>
        <v>1.4877450240365464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3"/>
      <c r="BJ42" s="13"/>
      <c r="BK42" s="13"/>
      <c r="BL42" s="13"/>
      <c r="BM42" s="13"/>
      <c r="BN42" s="13"/>
    </row>
    <row r="43" spans="1:66" ht="12.75">
      <c r="A43" s="13" t="s">
        <v>125</v>
      </c>
      <c r="B43" s="17">
        <f>B19/B10</f>
        <v>0.9548804780876494</v>
      </c>
      <c r="C43" s="17">
        <f aca="true" t="shared" si="10" ref="C43:H43">C19/C10</f>
        <v>1.184726502793856</v>
      </c>
      <c r="D43" s="17">
        <f t="shared" si="10"/>
        <v>1.240706591013906</v>
      </c>
      <c r="E43" s="17"/>
      <c r="F43" s="17"/>
      <c r="G43" s="17">
        <f t="shared" si="10"/>
        <v>6.835929951043191</v>
      </c>
      <c r="H43" s="17">
        <f t="shared" si="10"/>
        <v>5.770048981703798</v>
      </c>
      <c r="I43" s="12">
        <f>100*(H43^(1/95)-1)</f>
        <v>1.8620508377396705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3"/>
      <c r="BJ43" s="13"/>
      <c r="BK43" s="13"/>
      <c r="BL43" s="13"/>
      <c r="BM43" s="13"/>
      <c r="BN43" s="13"/>
    </row>
    <row r="44" spans="1:66" ht="12.75">
      <c r="A44" s="13" t="s">
        <v>126</v>
      </c>
      <c r="B44" s="17">
        <f>B19/B12</f>
        <v>0.9688731682668014</v>
      </c>
      <c r="C44" s="17">
        <f aca="true" t="shared" si="11" ref="C44:H44">C19/C12</f>
        <v>1.1243767071421127</v>
      </c>
      <c r="D44" s="17">
        <f t="shared" si="11"/>
        <v>1.1604993759435909</v>
      </c>
      <c r="E44" s="17"/>
      <c r="F44" s="17"/>
      <c r="G44" s="17">
        <f t="shared" si="11"/>
        <v>3.952205882352941</v>
      </c>
      <c r="H44" s="17">
        <f t="shared" si="11"/>
        <v>3.515019350052591</v>
      </c>
      <c r="I44" s="12">
        <f>100*(H44^(1/75)-1)</f>
        <v>1.6901847290279548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3"/>
      <c r="BJ44" s="13"/>
      <c r="BK44" s="13"/>
      <c r="BL44" s="13"/>
      <c r="BM44" s="13"/>
      <c r="BN44" s="13"/>
    </row>
    <row r="45" spans="1:66" ht="12.75">
      <c r="A45" s="13" t="s">
        <v>127</v>
      </c>
      <c r="B45" s="17">
        <f>B31/B22</f>
        <v>0.9217990507979555</v>
      </c>
      <c r="C45" s="17">
        <f aca="true" t="shared" si="12" ref="C45:H45">C31/C22</f>
        <v>0.9844661581608045</v>
      </c>
      <c r="D45" s="17">
        <f t="shared" si="12"/>
        <v>1.0679834800313595</v>
      </c>
      <c r="E45" s="17"/>
      <c r="F45" s="17"/>
      <c r="G45" s="17">
        <f t="shared" si="12"/>
        <v>1.159131799956665</v>
      </c>
      <c r="H45" s="17">
        <f t="shared" si="12"/>
        <v>1.1774216821451473</v>
      </c>
      <c r="I45" s="12">
        <f>100*(H45^(1/11)-1)</f>
        <v>1.4958689905748779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3"/>
      <c r="BJ45" s="13"/>
      <c r="BK45" s="13"/>
      <c r="BL45" s="13"/>
      <c r="BM45" s="13"/>
      <c r="BN45" s="13"/>
    </row>
    <row r="46" spans="1:66" ht="13.5">
      <c r="A46" s="16"/>
      <c r="B46" s="17"/>
      <c r="C46" s="17"/>
      <c r="D46" s="17"/>
      <c r="E46" s="17"/>
      <c r="F46" s="17"/>
      <c r="G46" s="17"/>
      <c r="H46" s="17"/>
      <c r="I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3"/>
      <c r="BJ46" s="13"/>
      <c r="BK46" s="13"/>
      <c r="BL46" s="13"/>
      <c r="BM46" s="13"/>
      <c r="BN46" s="13"/>
    </row>
    <row r="47" spans="1:66" ht="12.75">
      <c r="A47" s="31" t="s">
        <v>379</v>
      </c>
      <c r="B47" s="17"/>
      <c r="C47" s="17"/>
      <c r="D47" s="17"/>
      <c r="E47" s="17"/>
      <c r="F47" s="17"/>
      <c r="G47" s="17"/>
      <c r="H47" s="17"/>
      <c r="I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3"/>
      <c r="BJ47" s="13"/>
      <c r="BK47" s="13"/>
      <c r="BL47" s="13"/>
      <c r="BM47" s="13"/>
      <c r="BN47" s="13"/>
    </row>
    <row r="48" spans="1:66" ht="12.75">
      <c r="A48" s="31" t="s">
        <v>128</v>
      </c>
      <c r="B48" s="17"/>
      <c r="C48" s="17"/>
      <c r="D48" s="17"/>
      <c r="E48" s="17"/>
      <c r="F48" s="17"/>
      <c r="G48" s="17"/>
      <c r="H48" s="17"/>
      <c r="I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3"/>
      <c r="BJ48" s="13"/>
      <c r="BK48" s="13"/>
      <c r="BL48" s="13"/>
      <c r="BM48" s="13"/>
      <c r="BN48" s="13"/>
    </row>
    <row r="49" spans="1:71" ht="12.75">
      <c r="A49" s="31" t="s">
        <v>256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3"/>
      <c r="BO49" s="13"/>
      <c r="BP49" s="13"/>
      <c r="BQ49" s="13"/>
      <c r="BR49" s="13"/>
      <c r="BS49" s="13"/>
    </row>
    <row r="50" spans="1:71" ht="12.75">
      <c r="A50" s="31" t="s">
        <v>129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3"/>
      <c r="BO50" s="13"/>
      <c r="BP50" s="13"/>
      <c r="BQ50" s="13"/>
      <c r="BR50" s="13"/>
      <c r="BS50" s="13"/>
    </row>
    <row r="51" spans="1:71" ht="12.75">
      <c r="A51" s="3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3"/>
      <c r="BO51" s="13"/>
      <c r="BP51" s="13"/>
      <c r="BQ51" s="13"/>
      <c r="BR51" s="13"/>
      <c r="BS51" s="13"/>
    </row>
    <row r="52" spans="1:71" ht="13.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30"/>
      <c r="M52" s="17"/>
      <c r="N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3"/>
      <c r="BO52" s="13"/>
      <c r="BP52" s="13"/>
      <c r="BQ52" s="13"/>
      <c r="BR52" s="13"/>
      <c r="BS52" s="13"/>
    </row>
    <row r="53" spans="1:71" ht="13.5">
      <c r="A53" s="16"/>
      <c r="B53" s="68" t="s">
        <v>78</v>
      </c>
      <c r="C53" s="68"/>
      <c r="D53" s="68"/>
      <c r="E53" s="68"/>
      <c r="F53" s="68"/>
      <c r="G53" s="68"/>
      <c r="H53" s="68"/>
      <c r="I53" s="17"/>
      <c r="J53" s="17"/>
      <c r="K53" s="17"/>
      <c r="L53" s="17"/>
      <c r="M53" s="17"/>
      <c r="N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3"/>
      <c r="BO53" s="13"/>
      <c r="BP53" s="13"/>
      <c r="BQ53" s="13"/>
      <c r="BR53" s="13"/>
      <c r="BS53" s="13"/>
    </row>
    <row r="54" spans="1:71" ht="13.5">
      <c r="A54" s="16"/>
      <c r="B54" s="19" t="s">
        <v>29</v>
      </c>
      <c r="C54" s="19" t="s">
        <v>77</v>
      </c>
      <c r="D54" s="19" t="s">
        <v>6</v>
      </c>
      <c r="E54" s="19" t="s">
        <v>116</v>
      </c>
      <c r="F54" s="19" t="s">
        <v>6</v>
      </c>
      <c r="G54" s="19" t="s">
        <v>76</v>
      </c>
      <c r="H54" s="19" t="s">
        <v>32</v>
      </c>
      <c r="I54" s="23" t="s">
        <v>87</v>
      </c>
      <c r="J54" s="23" t="s">
        <v>90</v>
      </c>
      <c r="K54" s="17" t="s">
        <v>279</v>
      </c>
      <c r="L54" s="17"/>
      <c r="M54" s="63" t="s">
        <v>320</v>
      </c>
      <c r="N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3"/>
      <c r="BO54" s="13"/>
      <c r="BP54" s="13"/>
      <c r="BQ54" s="13"/>
      <c r="BR54" s="13"/>
      <c r="BS54" s="13"/>
    </row>
    <row r="55" spans="1:71" ht="12.75">
      <c r="A55" s="13">
        <v>1807</v>
      </c>
      <c r="B55" s="11">
        <v>20587</v>
      </c>
      <c r="C55" s="14">
        <f>D56*20587/100</f>
        <v>11621.850738496496</v>
      </c>
      <c r="D55" s="29">
        <f aca="true" t="shared" si="13" ref="D55:D65">100*C55/B55</f>
        <v>56.45237644385533</v>
      </c>
      <c r="E55" s="11">
        <v>3691</v>
      </c>
      <c r="F55" s="12">
        <f aca="true" t="shared" si="14" ref="F55:F65">100*E55/C55</f>
        <v>31.75914131966816</v>
      </c>
      <c r="G55" s="11">
        <f>C55*H55/1000</f>
        <v>65428.230413558034</v>
      </c>
      <c r="H55" s="11">
        <v>5629.76</v>
      </c>
      <c r="I55" s="30">
        <f aca="true" t="shared" si="15" ref="I55:I65">H55/H10</f>
        <v>3.383230321237414</v>
      </c>
      <c r="J55" s="17">
        <f aca="true" t="shared" si="16" ref="J55:J65">H55/H99</f>
        <v>3.5995426412884606</v>
      </c>
      <c r="K55" s="12">
        <f aca="true" t="shared" si="17" ref="K55:K65">100*C55/C10</f>
        <v>2.4595335169809664</v>
      </c>
      <c r="L55" s="12">
        <f aca="true" t="shared" si="18" ref="L55:L65">100*G55/G10</f>
        <v>8.321168370749701</v>
      </c>
      <c r="M55" s="11">
        <f>H55</f>
        <v>5629.76</v>
      </c>
      <c r="N55" s="32">
        <f>M55/H55</f>
        <v>1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3"/>
      <c r="BO55" s="13"/>
      <c r="BP55" s="13"/>
      <c r="BQ55" s="13"/>
      <c r="BR55" s="13"/>
      <c r="BS55" s="13"/>
    </row>
    <row r="56" spans="1:71" ht="12.75">
      <c r="A56" s="13">
        <v>1817</v>
      </c>
      <c r="B56" s="11">
        <v>21124</v>
      </c>
      <c r="C56" s="28">
        <f>21124-9199</f>
        <v>11925</v>
      </c>
      <c r="D56" s="12">
        <f t="shared" si="13"/>
        <v>56.45237644385533</v>
      </c>
      <c r="E56" s="11">
        <v>3104</v>
      </c>
      <c r="F56" s="12">
        <f t="shared" si="14"/>
        <v>26.029350104821802</v>
      </c>
      <c r="G56" s="11">
        <f aca="true" t="shared" si="19" ref="G56:G65">C56*H56/1000</f>
        <v>62064.580725</v>
      </c>
      <c r="H56" s="11">
        <v>5204.577</v>
      </c>
      <c r="I56" s="30">
        <f t="shared" si="15"/>
        <v>3.3779513493264766</v>
      </c>
      <c r="J56" s="17">
        <f t="shared" si="16"/>
        <v>3.599542641288461</v>
      </c>
      <c r="K56" s="12">
        <f t="shared" si="17"/>
        <v>2.523494447502793</v>
      </c>
      <c r="L56" s="12">
        <f t="shared" si="18"/>
        <v>8.524241473959929</v>
      </c>
      <c r="M56" s="11">
        <f>H56</f>
        <v>5204.577</v>
      </c>
      <c r="N56" s="32">
        <f aca="true" t="shared" si="20" ref="N56:N61">M56/H56</f>
        <v>1</v>
      </c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3"/>
      <c r="BO56" s="13"/>
      <c r="BP56" s="13"/>
      <c r="BQ56" s="13"/>
      <c r="BR56" s="13"/>
      <c r="BS56" s="13"/>
    </row>
    <row r="57" spans="1:71" ht="12.75">
      <c r="A57" s="13">
        <v>1827</v>
      </c>
      <c r="B57" s="11">
        <v>23534</v>
      </c>
      <c r="C57" s="11">
        <f>23534-4680-2832-775-356-740</f>
        <v>14151</v>
      </c>
      <c r="D57" s="12">
        <f t="shared" si="13"/>
        <v>60.13002464519419</v>
      </c>
      <c r="E57" s="11">
        <v>3817</v>
      </c>
      <c r="F57" s="12">
        <f t="shared" si="14"/>
        <v>26.973358773231574</v>
      </c>
      <c r="G57" s="11">
        <f t="shared" si="19"/>
        <v>129564.74467199999</v>
      </c>
      <c r="H57" s="11">
        <v>9155.872</v>
      </c>
      <c r="I57" s="17">
        <f t="shared" si="15"/>
        <v>3.3518889070366114</v>
      </c>
      <c r="J57" s="17">
        <f t="shared" si="16"/>
        <v>3.5995426412884606</v>
      </c>
      <c r="K57" s="12">
        <f t="shared" si="17"/>
        <v>2.8422241086740208</v>
      </c>
      <c r="L57" s="12">
        <f t="shared" si="18"/>
        <v>9.52681946117647</v>
      </c>
      <c r="M57" s="11">
        <f>'avecparts vs sspart 1827-1867'!B28</f>
        <v>9749</v>
      </c>
      <c r="N57" s="32">
        <f t="shared" si="20"/>
        <v>1.0647811590201348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3"/>
      <c r="BO57" s="13"/>
      <c r="BP57" s="13"/>
      <c r="BQ57" s="13"/>
      <c r="BR57" s="13"/>
      <c r="BS57" s="13"/>
    </row>
    <row r="58" spans="1:71" ht="12.75">
      <c r="A58" s="13">
        <v>1837</v>
      </c>
      <c r="B58" s="11">
        <v>28134</v>
      </c>
      <c r="C58" s="11">
        <f>28134-4638-3867-1162-545-1020</f>
        <v>16902</v>
      </c>
      <c r="D58" s="12">
        <f t="shared" si="13"/>
        <v>60.076775431861805</v>
      </c>
      <c r="E58" s="11">
        <v>4926</v>
      </c>
      <c r="F58" s="12">
        <f t="shared" si="14"/>
        <v>29.144479943201986</v>
      </c>
      <c r="G58" s="11">
        <f t="shared" si="19"/>
        <v>164253.636</v>
      </c>
      <c r="H58" s="11">
        <v>9718</v>
      </c>
      <c r="I58" s="17">
        <f t="shared" si="15"/>
        <v>3.187114705965394</v>
      </c>
      <c r="J58" s="17">
        <f t="shared" si="16"/>
        <v>3.4247481816321406</v>
      </c>
      <c r="K58" s="12">
        <f t="shared" si="17"/>
        <v>3.0749869963908525</v>
      </c>
      <c r="L58" s="12">
        <f t="shared" si="18"/>
        <v>9.800336276849642</v>
      </c>
      <c r="M58" s="11">
        <f>'avecparts vs sspart 1827-1867'!B49</f>
        <v>10073</v>
      </c>
      <c r="N58" s="32">
        <f t="shared" si="20"/>
        <v>1.0365301502366742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3"/>
      <c r="BO58" s="13"/>
      <c r="BP58" s="13"/>
      <c r="BQ58" s="13"/>
      <c r="BR58" s="13"/>
      <c r="BS58" s="13"/>
    </row>
    <row r="59" spans="1:71" ht="12.75">
      <c r="A59" s="13">
        <v>1847</v>
      </c>
      <c r="B59" s="11">
        <v>30920</v>
      </c>
      <c r="C59" s="11">
        <f>30920-5210-4689-1179-545-1128</f>
        <v>18169</v>
      </c>
      <c r="D59" s="12">
        <f t="shared" si="13"/>
        <v>58.761319534282016</v>
      </c>
      <c r="E59" s="11">
        <v>4814</v>
      </c>
      <c r="F59" s="12">
        <f t="shared" si="14"/>
        <v>26.495679454015082</v>
      </c>
      <c r="G59" s="11">
        <f t="shared" si="19"/>
        <v>236215.169</v>
      </c>
      <c r="H59" s="11">
        <v>13001</v>
      </c>
      <c r="I59" s="17">
        <f t="shared" si="15"/>
        <v>3.5345421552664233</v>
      </c>
      <c r="J59" s="17">
        <f t="shared" si="16"/>
        <v>3.863716499223706</v>
      </c>
      <c r="K59" s="12">
        <f t="shared" si="17"/>
        <v>3.2520917620585914</v>
      </c>
      <c r="L59" s="12">
        <f t="shared" si="18"/>
        <v>11.494655425790754</v>
      </c>
      <c r="M59" s="11">
        <f>'avecparts vs sspart 1827-1867'!B70</f>
        <v>14105</v>
      </c>
      <c r="N59" s="32">
        <f t="shared" si="20"/>
        <v>1.084916544881163</v>
      </c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3"/>
      <c r="BO59" s="13"/>
      <c r="BP59" s="13"/>
      <c r="BQ59" s="13"/>
      <c r="BR59" s="13"/>
      <c r="BS59" s="13"/>
    </row>
    <row r="60" spans="1:71" ht="12.75">
      <c r="A60" s="13">
        <v>1857</v>
      </c>
      <c r="B60" s="11">
        <v>33251</v>
      </c>
      <c r="C60" s="11">
        <v>19248</v>
      </c>
      <c r="D60" s="12">
        <f t="shared" si="13"/>
        <v>57.886980842681425</v>
      </c>
      <c r="E60" s="11">
        <v>6048</v>
      </c>
      <c r="F60" s="12">
        <f t="shared" si="14"/>
        <v>31.4214463840399</v>
      </c>
      <c r="G60" s="11">
        <f t="shared" si="19"/>
        <v>319882.512</v>
      </c>
      <c r="H60" s="11">
        <v>16619</v>
      </c>
      <c r="I60" s="17">
        <f t="shared" si="15"/>
        <v>4.008053426986167</v>
      </c>
      <c r="J60" s="17">
        <f t="shared" si="16"/>
        <v>4.508920080100795</v>
      </c>
      <c r="K60" s="12">
        <f t="shared" si="17"/>
        <v>3.5613539542437516</v>
      </c>
      <c r="L60" s="12">
        <f t="shared" si="18"/>
        <v>14.274096921017403</v>
      </c>
      <c r="M60" s="11">
        <f>'avecparts vs sspart 1827-1867'!B91</f>
        <v>17708</v>
      </c>
      <c r="N60" s="32">
        <f t="shared" si="20"/>
        <v>1.0655274083879898</v>
      </c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3"/>
      <c r="BO60" s="13"/>
      <c r="BP60" s="13"/>
      <c r="BQ60" s="13"/>
      <c r="BR60" s="13"/>
      <c r="BS60" s="13"/>
    </row>
    <row r="61" spans="1:71" ht="12.75">
      <c r="A61" s="13">
        <v>1867</v>
      </c>
      <c r="B61" s="11">
        <v>44724</v>
      </c>
      <c r="C61" s="11">
        <v>28153</v>
      </c>
      <c r="D61" s="12">
        <f t="shared" si="13"/>
        <v>62.9483051605402</v>
      </c>
      <c r="E61" s="11">
        <v>7971</v>
      </c>
      <c r="F61" s="12">
        <f t="shared" si="14"/>
        <v>28.313146023514367</v>
      </c>
      <c r="G61" s="11">
        <f t="shared" si="19"/>
        <v>580571.166</v>
      </c>
      <c r="H61" s="11">
        <v>20622</v>
      </c>
      <c r="I61" s="17">
        <f t="shared" si="15"/>
        <v>3.6013809996375676</v>
      </c>
      <c r="J61" s="17">
        <f t="shared" si="16"/>
        <v>4.152293276271858</v>
      </c>
      <c r="K61" s="12">
        <f t="shared" si="17"/>
        <v>4.852737122140003</v>
      </c>
      <c r="L61" s="12">
        <f t="shared" si="18"/>
        <v>17.476555267910896</v>
      </c>
      <c r="M61" s="11">
        <f>'avecparts vs sspart 1827-1867'!B112</f>
        <v>22384</v>
      </c>
      <c r="N61" s="32">
        <f t="shared" si="20"/>
        <v>1.0854427310639123</v>
      </c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3"/>
      <c r="BO61" s="13"/>
      <c r="BP61" s="13"/>
      <c r="BQ61" s="13"/>
      <c r="BR61" s="13"/>
      <c r="BS61" s="13"/>
    </row>
    <row r="62" spans="1:71" ht="12.75">
      <c r="A62" s="13">
        <v>1877</v>
      </c>
      <c r="B62" s="11">
        <v>47509</v>
      </c>
      <c r="C62" s="11">
        <v>28777</v>
      </c>
      <c r="D62" s="12">
        <f t="shared" si="13"/>
        <v>60.57168115514955</v>
      </c>
      <c r="E62" s="11">
        <v>8242</v>
      </c>
      <c r="F62" s="12">
        <f t="shared" si="14"/>
        <v>28.64092851930361</v>
      </c>
      <c r="G62" s="11">
        <f t="shared" si="19"/>
        <v>826130.116</v>
      </c>
      <c r="H62" s="11">
        <v>28708</v>
      </c>
      <c r="I62" s="17">
        <f t="shared" si="15"/>
        <v>3.6195845928796757</v>
      </c>
      <c r="J62" s="17">
        <f t="shared" si="16"/>
        <v>4.218752833456168</v>
      </c>
      <c r="K62" s="12">
        <f t="shared" si="17"/>
        <v>5.142833042090202</v>
      </c>
      <c r="L62" s="12">
        <f t="shared" si="18"/>
        <v>18.61491924290221</v>
      </c>
      <c r="M62" s="11"/>
      <c r="N62" s="32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3"/>
      <c r="BO62" s="13"/>
      <c r="BP62" s="13"/>
      <c r="BQ62" s="13"/>
      <c r="BR62" s="13"/>
      <c r="BS62" s="13"/>
    </row>
    <row r="63" spans="1:71" ht="12.75">
      <c r="A63" s="13">
        <v>1887</v>
      </c>
      <c r="B63" s="11">
        <v>52836</v>
      </c>
      <c r="C63" s="11">
        <v>34411</v>
      </c>
      <c r="D63" s="12">
        <f t="shared" si="13"/>
        <v>65.12794306911954</v>
      </c>
      <c r="E63" s="11">
        <v>9811</v>
      </c>
      <c r="F63" s="12">
        <f t="shared" si="14"/>
        <v>28.511231873528814</v>
      </c>
      <c r="G63" s="11">
        <f t="shared" si="19"/>
        <v>1085047.652</v>
      </c>
      <c r="H63" s="11">
        <v>31532</v>
      </c>
      <c r="I63" s="17">
        <f t="shared" si="15"/>
        <v>3.404314109047884</v>
      </c>
      <c r="J63" s="17">
        <f t="shared" si="16"/>
        <v>4.007649939032123</v>
      </c>
      <c r="K63" s="12">
        <f t="shared" si="17"/>
        <v>5.892535468744851</v>
      </c>
      <c r="L63" s="12">
        <f t="shared" si="18"/>
        <v>20.060041634313183</v>
      </c>
      <c r="M63" s="11"/>
      <c r="N63" s="32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3"/>
      <c r="BO63" s="13"/>
      <c r="BP63" s="13"/>
      <c r="BQ63" s="13"/>
      <c r="BR63" s="13"/>
      <c r="BS63" s="13"/>
    </row>
    <row r="64" spans="1:71" ht="12.75">
      <c r="A64" s="13" t="s">
        <v>121</v>
      </c>
      <c r="B64" s="11">
        <v>49070</v>
      </c>
      <c r="C64" s="11">
        <f>49070-12704</f>
        <v>36366</v>
      </c>
      <c r="D64" s="12">
        <f t="shared" si="13"/>
        <v>74.1104544528225</v>
      </c>
      <c r="E64" s="11">
        <v>9830</v>
      </c>
      <c r="F64" s="12">
        <f t="shared" si="14"/>
        <v>27.030743001704888</v>
      </c>
      <c r="G64" s="11">
        <f t="shared" si="19"/>
        <v>1369725.39</v>
      </c>
      <c r="H64" s="11">
        <v>37665</v>
      </c>
      <c r="I64" s="17">
        <f t="shared" si="15"/>
        <v>3.922836027906977</v>
      </c>
      <c r="J64" s="17">
        <f t="shared" si="16"/>
        <v>4.922388644907421</v>
      </c>
      <c r="K64" s="12">
        <f t="shared" si="17"/>
        <v>6.496132616423429</v>
      </c>
      <c r="L64" s="12">
        <f t="shared" si="18"/>
        <v>25.483263069767442</v>
      </c>
      <c r="M64" s="17"/>
      <c r="N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3"/>
      <c r="BO64" s="13"/>
      <c r="BP64" s="13"/>
      <c r="BQ64" s="13"/>
      <c r="BR64" s="13"/>
      <c r="BS64" s="13"/>
    </row>
    <row r="65" spans="1:71" ht="12.75">
      <c r="A65" s="13" t="s">
        <v>114</v>
      </c>
      <c r="B65" s="11">
        <v>49070</v>
      </c>
      <c r="C65" s="11">
        <f>49070-12704</f>
        <v>36366</v>
      </c>
      <c r="D65" s="12">
        <f t="shared" si="13"/>
        <v>74.1104544528225</v>
      </c>
      <c r="E65" s="11">
        <v>9467</v>
      </c>
      <c r="F65" s="12">
        <f t="shared" si="14"/>
        <v>26.032557883737557</v>
      </c>
      <c r="G65" s="11">
        <f t="shared" si="19"/>
        <v>1238916.888</v>
      </c>
      <c r="H65" s="11">
        <v>34068</v>
      </c>
      <c r="I65" s="17">
        <f t="shared" si="15"/>
        <v>3.9964592468849314</v>
      </c>
      <c r="J65" s="17">
        <f t="shared" si="16"/>
        <v>5.047165233281557</v>
      </c>
      <c r="K65" s="12">
        <f t="shared" si="17"/>
        <v>6.496132616423429</v>
      </c>
      <c r="L65" s="12">
        <f t="shared" si="18"/>
        <v>25.961529263896217</v>
      </c>
      <c r="M65" s="17"/>
      <c r="N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3"/>
      <c r="BO65" s="13"/>
      <c r="BP65" s="13"/>
      <c r="BQ65" s="13"/>
      <c r="BR65" s="13"/>
      <c r="BS65" s="13"/>
    </row>
    <row r="66" spans="1:71" ht="12.75">
      <c r="A66" s="13"/>
      <c r="B66" s="11"/>
      <c r="C66" s="11"/>
      <c r="D66" s="12"/>
      <c r="E66" s="11"/>
      <c r="F66" s="12"/>
      <c r="G66" s="11"/>
      <c r="H66" s="11"/>
      <c r="I66" s="17"/>
      <c r="J66" s="17"/>
      <c r="K66" s="17"/>
      <c r="L66" s="17"/>
      <c r="M66" s="17"/>
      <c r="N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3"/>
      <c r="BO66" s="13"/>
      <c r="BP66" s="13"/>
      <c r="BQ66" s="13"/>
      <c r="BR66" s="13"/>
      <c r="BS66" s="13"/>
    </row>
    <row r="67" spans="1:71" ht="12.75">
      <c r="A67" s="13">
        <v>1902</v>
      </c>
      <c r="B67" s="28">
        <v>71297</v>
      </c>
      <c r="C67" s="28">
        <v>52483</v>
      </c>
      <c r="D67" s="12">
        <f aca="true" t="shared" si="21" ref="D67:D77">100*C67/B67</f>
        <v>73.61179292256337</v>
      </c>
      <c r="E67" s="11">
        <v>15027</v>
      </c>
      <c r="F67" s="12">
        <f aca="true" t="shared" si="22" ref="F67:F77">100*E67/C67</f>
        <v>28.632128498751978</v>
      </c>
      <c r="G67" s="11">
        <v>1315019</v>
      </c>
      <c r="H67" s="11">
        <f aca="true" t="shared" si="23" ref="H67:H77">1000*G67/C67</f>
        <v>25056.094354362365</v>
      </c>
      <c r="I67" s="17">
        <f aca="true" t="shared" si="24" ref="I67:I77">H67/H22</f>
        <v>2.9392878940152873</v>
      </c>
      <c r="J67" s="17">
        <f aca="true" t="shared" si="25" ref="J67:J77">H67/H113</f>
        <v>3.130958785402098</v>
      </c>
      <c r="K67" s="17"/>
      <c r="L67" s="17"/>
      <c r="M67" s="17"/>
      <c r="N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3"/>
      <c r="BO67" s="13"/>
      <c r="BP67" s="13"/>
      <c r="BQ67" s="13"/>
      <c r="BR67" s="13"/>
      <c r="BS67" s="13"/>
    </row>
    <row r="68" spans="1:71" ht="12.75">
      <c r="A68" s="13">
        <v>1903</v>
      </c>
      <c r="B68" s="28">
        <v>68453</v>
      </c>
      <c r="C68" s="28">
        <v>51559</v>
      </c>
      <c r="D68" s="12">
        <f t="shared" si="21"/>
        <v>75.32029275561334</v>
      </c>
      <c r="E68" s="11">
        <v>16316</v>
      </c>
      <c r="F68" s="12">
        <f t="shared" si="22"/>
        <v>31.64529955972769</v>
      </c>
      <c r="G68" s="11">
        <v>1414268</v>
      </c>
      <c r="H68" s="11">
        <f t="shared" si="23"/>
        <v>27430.08980003491</v>
      </c>
      <c r="I68" s="17">
        <f t="shared" si="24"/>
        <v>3.096385133121554</v>
      </c>
      <c r="J68" s="17">
        <f t="shared" si="25"/>
        <v>3.941148874958289</v>
      </c>
      <c r="K68" s="17"/>
      <c r="L68" s="17"/>
      <c r="M68" s="17"/>
      <c r="N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3"/>
      <c r="BO68" s="13"/>
      <c r="BP68" s="13"/>
      <c r="BQ68" s="13"/>
      <c r="BR68" s="13"/>
      <c r="BS68" s="13"/>
    </row>
    <row r="69" spans="1:71" ht="12.75">
      <c r="A69" s="13">
        <v>1904</v>
      </c>
      <c r="B69" s="28">
        <v>70341</v>
      </c>
      <c r="C69" s="28">
        <v>52571</v>
      </c>
      <c r="D69" s="12">
        <f t="shared" si="21"/>
        <v>74.73735090487767</v>
      </c>
      <c r="E69" s="11">
        <v>15726</v>
      </c>
      <c r="F69" s="12">
        <f t="shared" si="22"/>
        <v>29.913830819272984</v>
      </c>
      <c r="G69" s="11">
        <v>1751886</v>
      </c>
      <c r="H69" s="11">
        <f t="shared" si="23"/>
        <v>33324.19014285442</v>
      </c>
      <c r="I69" s="17">
        <f t="shared" si="24"/>
        <v>3.5405189868006772</v>
      </c>
      <c r="J69" s="17">
        <f t="shared" si="25"/>
        <v>4.804232996690253</v>
      </c>
      <c r="K69" s="17"/>
      <c r="L69" s="17"/>
      <c r="M69" s="17"/>
      <c r="N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3"/>
      <c r="BO69" s="13"/>
      <c r="BP69" s="13"/>
      <c r="BQ69" s="13"/>
      <c r="BR69" s="13"/>
      <c r="BS69" s="13"/>
    </row>
    <row r="70" spans="1:71" ht="12.75">
      <c r="A70" s="13">
        <v>1905</v>
      </c>
      <c r="B70" s="28">
        <v>70975</v>
      </c>
      <c r="C70" s="28">
        <v>54126</v>
      </c>
      <c r="D70" s="12">
        <f t="shared" si="21"/>
        <v>76.2606551602677</v>
      </c>
      <c r="E70" s="11">
        <v>16572</v>
      </c>
      <c r="F70" s="12">
        <f t="shared" si="22"/>
        <v>30.617448176477108</v>
      </c>
      <c r="G70" s="11">
        <v>1991459</v>
      </c>
      <c r="H70" s="11">
        <f t="shared" si="23"/>
        <v>36793.019990392786</v>
      </c>
      <c r="I70" s="17">
        <f t="shared" si="24"/>
        <v>3.716250023903959</v>
      </c>
      <c r="J70" s="17">
        <f t="shared" si="25"/>
        <v>5.156644481090953</v>
      </c>
      <c r="K70" s="17"/>
      <c r="L70" s="17"/>
      <c r="M70" s="17"/>
      <c r="N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3"/>
      <c r="BO70" s="13"/>
      <c r="BP70" s="13"/>
      <c r="BQ70" s="13"/>
      <c r="BR70" s="13"/>
      <c r="BS70" s="13"/>
    </row>
    <row r="71" spans="1:71" ht="12.75">
      <c r="A71" s="13">
        <v>1907</v>
      </c>
      <c r="B71" s="28">
        <v>75820</v>
      </c>
      <c r="C71" s="28">
        <v>58985</v>
      </c>
      <c r="D71" s="12">
        <f t="shared" si="21"/>
        <v>77.79609601688209</v>
      </c>
      <c r="E71" s="11">
        <v>17853</v>
      </c>
      <c r="F71" s="12">
        <f t="shared" si="22"/>
        <v>30.26701703823006</v>
      </c>
      <c r="G71" s="11">
        <v>1467039</v>
      </c>
      <c r="H71" s="11">
        <f t="shared" si="23"/>
        <v>24871.39103161821</v>
      </c>
      <c r="I71" s="17">
        <f t="shared" si="24"/>
        <v>2.7882077036377333</v>
      </c>
      <c r="J71" s="17">
        <f t="shared" si="25"/>
        <v>3.444903361631716</v>
      </c>
      <c r="K71" s="17"/>
      <c r="L71" s="17"/>
      <c r="M71" s="17"/>
      <c r="N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3"/>
      <c r="BO71" s="13"/>
      <c r="BP71" s="13"/>
      <c r="BQ71" s="13"/>
      <c r="BR71" s="13"/>
      <c r="BS71" s="13"/>
    </row>
    <row r="72" spans="1:71" ht="12.75">
      <c r="A72" s="13">
        <v>1909</v>
      </c>
      <c r="B72" s="28">
        <v>73292</v>
      </c>
      <c r="C72" s="28">
        <v>57595</v>
      </c>
      <c r="D72" s="12">
        <f t="shared" si="21"/>
        <v>78.58292855973367</v>
      </c>
      <c r="E72" s="11">
        <v>18963</v>
      </c>
      <c r="F72" s="12">
        <f t="shared" si="22"/>
        <v>32.9247330497439</v>
      </c>
      <c r="G72" s="11">
        <v>1702720</v>
      </c>
      <c r="H72" s="11">
        <f t="shared" si="23"/>
        <v>29563.677402552305</v>
      </c>
      <c r="I72" s="17">
        <f t="shared" si="24"/>
        <v>3.0599841643618504</v>
      </c>
      <c r="J72" s="17">
        <f t="shared" si="25"/>
        <v>3.928687222313973</v>
      </c>
      <c r="K72" s="17"/>
      <c r="L72" s="17"/>
      <c r="M72" s="17"/>
      <c r="N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3"/>
      <c r="BO72" s="13"/>
      <c r="BP72" s="13"/>
      <c r="BQ72" s="13"/>
      <c r="BR72" s="13"/>
      <c r="BS72" s="13"/>
    </row>
    <row r="73" spans="1:71" ht="12.75">
      <c r="A73" s="13">
        <v>1910</v>
      </c>
      <c r="B73" s="28">
        <v>70740</v>
      </c>
      <c r="C73" s="28">
        <v>54358</v>
      </c>
      <c r="D73" s="12">
        <f t="shared" si="21"/>
        <v>76.84195646027707</v>
      </c>
      <c r="E73" s="11">
        <v>18095</v>
      </c>
      <c r="F73" s="12">
        <f t="shared" si="22"/>
        <v>33.28856837999926</v>
      </c>
      <c r="G73" s="11">
        <v>1557760</v>
      </c>
      <c r="H73" s="11">
        <f t="shared" si="23"/>
        <v>28657.419331101217</v>
      </c>
      <c r="I73" s="17">
        <f t="shared" si="24"/>
        <v>2.9598258519190854</v>
      </c>
      <c r="J73" s="17">
        <f t="shared" si="25"/>
        <v>3.7712979870258057</v>
      </c>
      <c r="K73" s="17"/>
      <c r="L73" s="17"/>
      <c r="M73" s="17"/>
      <c r="N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3"/>
      <c r="BO73" s="13"/>
      <c r="BP73" s="13"/>
      <c r="BQ73" s="13"/>
      <c r="BR73" s="13"/>
      <c r="BS73" s="13"/>
    </row>
    <row r="74" spans="1:71" ht="12.75">
      <c r="A74" s="13">
        <v>1911</v>
      </c>
      <c r="B74" s="28">
        <v>76108</v>
      </c>
      <c r="C74" s="28">
        <v>57327</v>
      </c>
      <c r="D74" s="12">
        <f t="shared" si="21"/>
        <v>75.32322489094445</v>
      </c>
      <c r="E74" s="11">
        <v>17882</v>
      </c>
      <c r="F74" s="12">
        <f t="shared" si="22"/>
        <v>31.192980619952206</v>
      </c>
      <c r="G74" s="11">
        <v>1861674</v>
      </c>
      <c r="H74" s="11">
        <f t="shared" si="23"/>
        <v>32474.645455021193</v>
      </c>
      <c r="I74" s="17">
        <f t="shared" si="24"/>
        <v>3.286864900266244</v>
      </c>
      <c r="J74" s="17">
        <f t="shared" si="25"/>
        <v>4.3784908626801355</v>
      </c>
      <c r="K74" s="17"/>
      <c r="L74" s="17"/>
      <c r="M74" s="17"/>
      <c r="N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3"/>
      <c r="BO74" s="13"/>
      <c r="BP74" s="13"/>
      <c r="BQ74" s="13"/>
      <c r="BR74" s="13"/>
      <c r="BS74" s="13"/>
    </row>
    <row r="75" spans="1:71" ht="12.75">
      <c r="A75" s="13">
        <v>1912</v>
      </c>
      <c r="B75" s="28">
        <v>73444</v>
      </c>
      <c r="C75" s="28">
        <v>56709</v>
      </c>
      <c r="D75" s="12">
        <f t="shared" si="21"/>
        <v>77.21393170306628</v>
      </c>
      <c r="E75" s="11">
        <v>17988</v>
      </c>
      <c r="F75" s="12">
        <f t="shared" si="22"/>
        <v>31.719832830767604</v>
      </c>
      <c r="G75" s="11">
        <v>1857013</v>
      </c>
      <c r="H75" s="11">
        <f t="shared" si="23"/>
        <v>32746.354194219613</v>
      </c>
      <c r="I75" s="17">
        <f t="shared" si="24"/>
        <v>3.2104091520821982</v>
      </c>
      <c r="J75" s="17">
        <f t="shared" si="25"/>
        <v>4.313799415477518</v>
      </c>
      <c r="K75" s="17"/>
      <c r="L75" s="17"/>
      <c r="M75" s="17"/>
      <c r="N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3"/>
      <c r="BO75" s="13"/>
      <c r="BP75" s="13"/>
      <c r="BQ75" s="13"/>
      <c r="BR75" s="13"/>
      <c r="BS75" s="13"/>
    </row>
    <row r="76" spans="1:71" ht="12.75">
      <c r="A76" s="13">
        <v>1913</v>
      </c>
      <c r="B76" s="28">
        <v>70616</v>
      </c>
      <c r="C76" s="28">
        <v>54411</v>
      </c>
      <c r="D76" s="12">
        <f t="shared" si="21"/>
        <v>77.05194290245836</v>
      </c>
      <c r="E76" s="11">
        <v>19268</v>
      </c>
      <c r="F76" s="12">
        <f t="shared" si="22"/>
        <v>35.41195714101928</v>
      </c>
      <c r="G76" s="11">
        <v>1650251</v>
      </c>
      <c r="H76" s="11">
        <f t="shared" si="23"/>
        <v>30329.363547812023</v>
      </c>
      <c r="I76" s="17">
        <f t="shared" si="24"/>
        <v>3.0217603474285246</v>
      </c>
      <c r="J76" s="17">
        <f t="shared" si="25"/>
        <v>3.8813785435003973</v>
      </c>
      <c r="K76" s="17"/>
      <c r="L76" s="17"/>
      <c r="M76" s="17"/>
      <c r="N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3"/>
      <c r="BO76" s="13"/>
      <c r="BP76" s="13"/>
      <c r="BQ76" s="13"/>
      <c r="BR76" s="13"/>
      <c r="BS76" s="13"/>
    </row>
    <row r="77" spans="1:71" ht="12.75">
      <c r="A77" s="13" t="s">
        <v>74</v>
      </c>
      <c r="B77" s="28">
        <f>AVERAGE(B67:B76)</f>
        <v>72108.6</v>
      </c>
      <c r="C77" s="28">
        <f>AVERAGE(C67:C76)</f>
        <v>55012.4</v>
      </c>
      <c r="D77" s="12">
        <f t="shared" si="21"/>
        <v>76.29103879426309</v>
      </c>
      <c r="E77" s="11">
        <f>AVERAGE(E67:E76)</f>
        <v>17369</v>
      </c>
      <c r="F77" s="12">
        <f t="shared" si="22"/>
        <v>31.572881750296297</v>
      </c>
      <c r="G77" s="11">
        <f>AVERAGE(G67:G76)</f>
        <v>1656908.9</v>
      </c>
      <c r="H77" s="11">
        <f t="shared" si="23"/>
        <v>30118.825937425016</v>
      </c>
      <c r="I77" s="17">
        <f t="shared" si="24"/>
        <v>3.2023813185181096</v>
      </c>
      <c r="J77" s="17">
        <f t="shared" si="25"/>
        <v>4.061253046652525</v>
      </c>
      <c r="K77" s="17"/>
      <c r="L77" s="17"/>
      <c r="M77" s="17"/>
      <c r="N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3"/>
      <c r="BO77" s="13"/>
      <c r="BP77" s="13"/>
      <c r="BQ77" s="13"/>
      <c r="BR77" s="13"/>
      <c r="BS77" s="13"/>
    </row>
    <row r="78" spans="1:71" ht="12.75">
      <c r="A78" s="13"/>
      <c r="B78" s="11"/>
      <c r="C78" s="11"/>
      <c r="D78" s="12"/>
      <c r="E78" s="11"/>
      <c r="F78" s="12"/>
      <c r="G78" s="11"/>
      <c r="H78" s="11"/>
      <c r="I78" s="17"/>
      <c r="J78" s="17"/>
      <c r="K78" s="17"/>
      <c r="L78" s="17"/>
      <c r="M78" s="17"/>
      <c r="N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3"/>
      <c r="BO78" s="13"/>
      <c r="BP78" s="13"/>
      <c r="BQ78" s="13"/>
      <c r="BR78" s="13"/>
      <c r="BS78" s="13"/>
    </row>
    <row r="79" spans="1:71" ht="12.75">
      <c r="A79" s="13"/>
      <c r="B79" s="11" t="s">
        <v>130</v>
      </c>
      <c r="C79" s="11" t="s">
        <v>130</v>
      </c>
      <c r="D79" s="11" t="s">
        <v>130</v>
      </c>
      <c r="E79" s="11"/>
      <c r="F79" s="12"/>
      <c r="G79" s="11" t="s">
        <v>130</v>
      </c>
      <c r="H79" s="11" t="s">
        <v>130</v>
      </c>
      <c r="I79" s="11" t="s">
        <v>131</v>
      </c>
      <c r="J79" s="17" t="s">
        <v>132</v>
      </c>
      <c r="K79" s="17" t="s">
        <v>134</v>
      </c>
      <c r="L79" s="17" t="s">
        <v>133</v>
      </c>
      <c r="M79" s="17"/>
      <c r="N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3"/>
      <c r="BO79" s="13"/>
      <c r="BP79" s="13"/>
      <c r="BQ79" s="13"/>
      <c r="BR79" s="13"/>
      <c r="BS79" s="13"/>
    </row>
    <row r="80" spans="1:71" ht="12.75">
      <c r="A80" s="13" t="s">
        <v>117</v>
      </c>
      <c r="B80" s="17">
        <f aca="true" t="shared" si="26" ref="B80:D85">B56/B55</f>
        <v>1.0260844222081897</v>
      </c>
      <c r="C80" s="17">
        <f t="shared" si="26"/>
        <v>1.0260844222081897</v>
      </c>
      <c r="D80" s="17">
        <f t="shared" si="26"/>
        <v>1</v>
      </c>
      <c r="E80" s="17"/>
      <c r="F80" s="17"/>
      <c r="G80" s="17">
        <f aca="true" t="shared" si="27" ref="G80:H85">G56/G55</f>
        <v>0.948590238994741</v>
      </c>
      <c r="H80" s="17">
        <f t="shared" si="27"/>
        <v>0.9244758213494003</v>
      </c>
      <c r="I80" s="12">
        <f aca="true" t="shared" si="28" ref="I80:I85">100*(H80^(1/10)-1)</f>
        <v>-0.782208518992944</v>
      </c>
      <c r="J80" s="12">
        <f aca="true" t="shared" si="29" ref="J80:J89">I36</f>
        <v>-0.7667139216588237</v>
      </c>
      <c r="K80" s="12">
        <f>I126</f>
        <v>-0.782208518992944</v>
      </c>
      <c r="L80" s="12">
        <f>I80-K80</f>
        <v>0</v>
      </c>
      <c r="M80" s="17"/>
      <c r="N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3"/>
      <c r="BO80" s="13"/>
      <c r="BP80" s="13"/>
      <c r="BQ80" s="13"/>
      <c r="BR80" s="13"/>
      <c r="BS80" s="13"/>
    </row>
    <row r="81" spans="1:71" ht="12.75">
      <c r="A81" s="13" t="s">
        <v>118</v>
      </c>
      <c r="B81" s="17">
        <f t="shared" si="26"/>
        <v>1.114088240863473</v>
      </c>
      <c r="C81" s="17">
        <f t="shared" si="26"/>
        <v>1.1866666666666668</v>
      </c>
      <c r="D81" s="17">
        <f t="shared" si="26"/>
        <v>1.0651460298575113</v>
      </c>
      <c r="E81" s="17"/>
      <c r="F81" s="17"/>
      <c r="G81" s="17">
        <f t="shared" si="27"/>
        <v>2.0875794721966194</v>
      </c>
      <c r="H81" s="17">
        <f t="shared" si="27"/>
        <v>1.7591961844353536</v>
      </c>
      <c r="I81" s="12">
        <f t="shared" si="28"/>
        <v>5.811148278104583</v>
      </c>
      <c r="J81" s="12">
        <f t="shared" si="29"/>
        <v>5.893134740726236</v>
      </c>
      <c r="K81" s="12">
        <f>I127</f>
        <v>5.811148278104583</v>
      </c>
      <c r="L81" s="12">
        <f aca="true" t="shared" si="30" ref="L81:L89">I81-K81</f>
        <v>0</v>
      </c>
      <c r="M81" s="17"/>
      <c r="N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3"/>
      <c r="BO81" s="13"/>
      <c r="BP81" s="13"/>
      <c r="BQ81" s="13"/>
      <c r="BR81" s="13"/>
      <c r="BS81" s="13"/>
    </row>
    <row r="82" spans="1:71" ht="12.75">
      <c r="A82" s="13" t="s">
        <v>120</v>
      </c>
      <c r="B82" s="17">
        <f t="shared" si="26"/>
        <v>1.195461884932438</v>
      </c>
      <c r="C82" s="17">
        <f t="shared" si="26"/>
        <v>1.1944032223871104</v>
      </c>
      <c r="D82" s="17">
        <f t="shared" si="26"/>
        <v>0.999114432205099</v>
      </c>
      <c r="E82" s="17"/>
      <c r="F82" s="17"/>
      <c r="G82" s="17">
        <f t="shared" si="27"/>
        <v>1.2677340307026945</v>
      </c>
      <c r="H82" s="17">
        <f t="shared" si="27"/>
        <v>1.0613953537139882</v>
      </c>
      <c r="I82" s="12">
        <f t="shared" si="28"/>
        <v>0.5976228211092449</v>
      </c>
      <c r="J82" s="12">
        <f t="shared" si="29"/>
        <v>1.1059956774277957</v>
      </c>
      <c r="K82" s="12">
        <f>I128</f>
        <v>1.0996346395785173</v>
      </c>
      <c r="L82" s="12">
        <f t="shared" si="30"/>
        <v>-0.5020118184692723</v>
      </c>
      <c r="M82" s="17"/>
      <c r="N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3"/>
      <c r="BO82" s="13"/>
      <c r="BP82" s="13"/>
      <c r="BQ82" s="13"/>
      <c r="BR82" s="13"/>
      <c r="BS82" s="13"/>
    </row>
    <row r="83" spans="1:71" ht="12.75">
      <c r="A83" s="13" t="s">
        <v>195</v>
      </c>
      <c r="B83" s="17">
        <f t="shared" si="26"/>
        <v>1.0990260894291604</v>
      </c>
      <c r="C83" s="17">
        <f t="shared" si="26"/>
        <v>1.0749615430126611</v>
      </c>
      <c r="D83" s="17">
        <f t="shared" si="26"/>
        <v>0.9781037532703173</v>
      </c>
      <c r="E83" s="17"/>
      <c r="F83" s="17"/>
      <c r="G83" s="17">
        <f t="shared" si="27"/>
        <v>1.4381122680291838</v>
      </c>
      <c r="H83" s="17">
        <f t="shared" si="27"/>
        <v>1.337826713315497</v>
      </c>
      <c r="I83" s="12">
        <f t="shared" si="28"/>
        <v>2.9532323383226533</v>
      </c>
      <c r="J83" s="12">
        <f t="shared" si="29"/>
        <v>1.8934903514371992</v>
      </c>
      <c r="K83" s="12">
        <f>I129</f>
        <v>1.7190570339887357</v>
      </c>
      <c r="L83" s="12">
        <f t="shared" si="30"/>
        <v>1.2341753043339176</v>
      </c>
      <c r="M83" s="17"/>
      <c r="N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3"/>
      <c r="BO83" s="13"/>
      <c r="BP83" s="13"/>
      <c r="BQ83" s="13"/>
      <c r="BR83" s="13"/>
      <c r="BS83" s="13"/>
    </row>
    <row r="84" spans="1:71" ht="12.75">
      <c r="A84" s="13" t="s">
        <v>222</v>
      </c>
      <c r="B84" s="17">
        <f t="shared" si="26"/>
        <v>1.0753880983182407</v>
      </c>
      <c r="C84" s="17">
        <f t="shared" si="26"/>
        <v>1.059386867741758</v>
      </c>
      <c r="D84" s="17">
        <f t="shared" si="26"/>
        <v>0.9851205061674884</v>
      </c>
      <c r="E84" s="17"/>
      <c r="F84" s="17"/>
      <c r="G84" s="17">
        <f t="shared" si="27"/>
        <v>1.35419970425354</v>
      </c>
      <c r="H84" s="17">
        <f t="shared" si="27"/>
        <v>1.278286285670333</v>
      </c>
      <c r="I84" s="12">
        <f t="shared" si="28"/>
        <v>2.4855917233020275</v>
      </c>
      <c r="J84" s="12">
        <f t="shared" si="29"/>
        <v>1.2051887833947506</v>
      </c>
      <c r="K84" s="12">
        <f>I131</f>
        <v>3.0269969738067948</v>
      </c>
      <c r="L84" s="12">
        <f>I84-K84</f>
        <v>-0.5414052505047673</v>
      </c>
      <c r="M84" s="17"/>
      <c r="N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3"/>
      <c r="BO84" s="13"/>
      <c r="BP84" s="13"/>
      <c r="BQ84" s="13"/>
      <c r="BR84" s="13"/>
      <c r="BS84" s="13"/>
    </row>
    <row r="85" spans="1:71" ht="12.75">
      <c r="A85" s="13" t="s">
        <v>223</v>
      </c>
      <c r="B85" s="17">
        <f t="shared" si="26"/>
        <v>1.3450422543682896</v>
      </c>
      <c r="C85" s="17">
        <f t="shared" si="26"/>
        <v>1.4626454696591853</v>
      </c>
      <c r="D85" s="17">
        <f t="shared" si="26"/>
        <v>1.0874345879536171</v>
      </c>
      <c r="E85" s="17"/>
      <c r="F85" s="17"/>
      <c r="G85" s="17">
        <f t="shared" si="27"/>
        <v>1.8149512531025767</v>
      </c>
      <c r="H85" s="17">
        <f t="shared" si="27"/>
        <v>1.2408688850111318</v>
      </c>
      <c r="I85" s="12">
        <f t="shared" si="28"/>
        <v>2.181574287174426</v>
      </c>
      <c r="J85" s="12">
        <f t="shared" si="29"/>
        <v>3.2806667087880825</v>
      </c>
      <c r="K85" s="12">
        <f>I132</f>
        <v>1.2426277725699153</v>
      </c>
      <c r="L85" s="12">
        <f>I85-K85</f>
        <v>0.9389465146045106</v>
      </c>
      <c r="M85" s="17"/>
      <c r="N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3"/>
      <c r="BO85" s="13"/>
      <c r="BP85" s="13"/>
      <c r="BQ85" s="13"/>
      <c r="BR85" s="13"/>
      <c r="BS85" s="13"/>
    </row>
    <row r="86" spans="1:71" ht="12.75">
      <c r="A86" s="13" t="s">
        <v>124</v>
      </c>
      <c r="B86" s="17">
        <f>B64/B61</f>
        <v>1.0971737769430283</v>
      </c>
      <c r="C86" s="17">
        <f>C64/C61</f>
        <v>1.2917273469967676</v>
      </c>
      <c r="D86" s="17">
        <f>D64/D61</f>
        <v>1.1773224753838076</v>
      </c>
      <c r="E86" s="17"/>
      <c r="F86" s="17"/>
      <c r="G86" s="17">
        <f>G64/G61</f>
        <v>2.3592721619936596</v>
      </c>
      <c r="H86" s="17">
        <f>H64/H61</f>
        <v>1.826447483270294</v>
      </c>
      <c r="I86" s="12">
        <f>100*(H86^(1/35)-1)</f>
        <v>1.7359608421685158</v>
      </c>
      <c r="J86" s="12">
        <f t="shared" si="29"/>
        <v>1.4877450240365464</v>
      </c>
      <c r="K86" s="12">
        <f>I132</f>
        <v>1.2426277725699153</v>
      </c>
      <c r="L86" s="12">
        <f t="shared" si="30"/>
        <v>0.49333306959860046</v>
      </c>
      <c r="M86" s="17"/>
      <c r="N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3"/>
      <c r="BO86" s="13"/>
      <c r="BP86" s="13"/>
      <c r="BQ86" s="13"/>
      <c r="BR86" s="13"/>
      <c r="BS86" s="13"/>
    </row>
    <row r="87" spans="1:71" ht="12.75">
      <c r="A87" s="13" t="s">
        <v>125</v>
      </c>
      <c r="B87" s="17">
        <f>B64/B55</f>
        <v>2.3835430125807546</v>
      </c>
      <c r="C87" s="17">
        <f>C64/C55</f>
        <v>3.129105752454761</v>
      </c>
      <c r="D87" s="17">
        <f>D64/D55</f>
        <v>1.3127960082695367</v>
      </c>
      <c r="E87" s="17"/>
      <c r="F87" s="17"/>
      <c r="G87" s="17">
        <f>G64/G55</f>
        <v>20.934776645222634</v>
      </c>
      <c r="H87" s="17">
        <f>H64/H55</f>
        <v>6.690338486898198</v>
      </c>
      <c r="I87" s="12">
        <f>100*(H87^(1/95)-1)</f>
        <v>2.020847575665252</v>
      </c>
      <c r="J87" s="12">
        <f t="shared" si="29"/>
        <v>1.8620508377396705</v>
      </c>
      <c r="K87" s="12">
        <f>I133</f>
        <v>1.685282646173203</v>
      </c>
      <c r="L87" s="12">
        <f t="shared" si="30"/>
        <v>0.3355649294920493</v>
      </c>
      <c r="M87" s="17"/>
      <c r="N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3"/>
      <c r="BO87" s="13"/>
      <c r="BP87" s="13"/>
      <c r="BQ87" s="13"/>
      <c r="BR87" s="13"/>
      <c r="BS87" s="13"/>
    </row>
    <row r="88" spans="1:69" ht="12.75">
      <c r="A88" s="13" t="s">
        <v>126</v>
      </c>
      <c r="B88" s="17">
        <f>B64/B57</f>
        <v>2.0850684116597265</v>
      </c>
      <c r="C88" s="17">
        <f>C64/C57</f>
        <v>2.5698537205851175</v>
      </c>
      <c r="D88" s="17">
        <f>D64/D57</f>
        <v>1.2325033107856156</v>
      </c>
      <c r="E88" s="17"/>
      <c r="F88" s="17"/>
      <c r="G88" s="17">
        <f>G64/G57</f>
        <v>10.571744601261186</v>
      </c>
      <c r="H88" s="17">
        <f>H64/H57</f>
        <v>4.113753446968241</v>
      </c>
      <c r="I88" s="12">
        <f>100*(H88^(1/75)-1)</f>
        <v>1.903674296477531</v>
      </c>
      <c r="J88" s="12">
        <f t="shared" si="29"/>
        <v>1.6901847290279548</v>
      </c>
      <c r="K88" s="12">
        <f>I134</f>
        <v>1.479299908332421</v>
      </c>
      <c r="L88" s="12">
        <f t="shared" si="30"/>
        <v>0.4243743881451101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</row>
    <row r="89" spans="1:69" ht="12.75">
      <c r="A89" s="13" t="s">
        <v>127</v>
      </c>
      <c r="B89" s="17">
        <f>B76/B67</f>
        <v>0.9904484059637852</v>
      </c>
      <c r="C89" s="17">
        <f>C76/C67</f>
        <v>1.0367357048949184</v>
      </c>
      <c r="D89" s="17">
        <f>D76/D67</f>
        <v>1.0467336800709894</v>
      </c>
      <c r="E89" s="17"/>
      <c r="F89" s="17"/>
      <c r="G89" s="17">
        <f>G76/G67</f>
        <v>1.2549255942309578</v>
      </c>
      <c r="H89" s="17">
        <f>H76/H67</f>
        <v>1.2104585462870259</v>
      </c>
      <c r="I89" s="12">
        <f>100*(H89^(1/11)-1)</f>
        <v>1.7515191389588347</v>
      </c>
      <c r="J89" s="12">
        <f t="shared" si="29"/>
        <v>1.4958689905748779</v>
      </c>
      <c r="K89" s="12">
        <f>I135</f>
        <v>-0.21660012533709638</v>
      </c>
      <c r="L89" s="12">
        <f t="shared" si="30"/>
        <v>1.968119264295931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</row>
    <row r="90" spans="1:69" ht="13.5">
      <c r="A90" s="16"/>
      <c r="B90" s="17"/>
      <c r="C90" s="17"/>
      <c r="D90" s="17"/>
      <c r="E90" s="17"/>
      <c r="F90" s="17"/>
      <c r="G90" s="17"/>
      <c r="H90" s="17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</row>
    <row r="91" spans="1:69" ht="12.75">
      <c r="A91" s="31" t="s">
        <v>135</v>
      </c>
      <c r="B91" s="17"/>
      <c r="C91" s="17"/>
      <c r="D91" s="17"/>
      <c r="E91" s="17"/>
      <c r="F91" s="17"/>
      <c r="G91" s="17"/>
      <c r="H91" s="17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</row>
    <row r="92" spans="1:69" ht="12.75">
      <c r="A92" s="33" t="s">
        <v>136</v>
      </c>
      <c r="B92" s="17"/>
      <c r="C92" s="17"/>
      <c r="D92" s="17"/>
      <c r="E92" s="17"/>
      <c r="F92" s="17"/>
      <c r="G92" s="17"/>
      <c r="H92" s="17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</row>
    <row r="93" spans="1:69" ht="12.75">
      <c r="A93" s="33" t="s">
        <v>137</v>
      </c>
      <c r="B93" s="17"/>
      <c r="C93" s="17"/>
      <c r="D93" s="17"/>
      <c r="E93" s="17"/>
      <c r="F93" s="17"/>
      <c r="G93" s="17"/>
      <c r="H93" s="17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</row>
    <row r="94" spans="1:69" ht="12.75">
      <c r="A94" s="33"/>
      <c r="B94" s="17"/>
      <c r="C94" s="17"/>
      <c r="D94" s="17"/>
      <c r="E94" s="17"/>
      <c r="F94" s="17"/>
      <c r="G94" s="17"/>
      <c r="H94" s="17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</row>
    <row r="95" spans="1:69" ht="12.75">
      <c r="A95" s="33"/>
      <c r="B95" s="17"/>
      <c r="C95" s="17"/>
      <c r="D95" s="17"/>
      <c r="E95" s="17"/>
      <c r="F95" s="17"/>
      <c r="G95" s="17"/>
      <c r="H95" s="17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</row>
    <row r="96" spans="1:69" ht="12.75">
      <c r="A96" s="13"/>
      <c r="B96" s="17"/>
      <c r="C96" s="17"/>
      <c r="D96" s="17"/>
      <c r="E96" s="17"/>
      <c r="F96" s="17"/>
      <c r="G96" s="17"/>
      <c r="H96" s="17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</row>
    <row r="97" spans="1:69" ht="13.5">
      <c r="A97" s="16"/>
      <c r="B97" s="68" t="s">
        <v>89</v>
      </c>
      <c r="C97" s="68"/>
      <c r="D97" s="68"/>
      <c r="E97" s="68"/>
      <c r="F97" s="68"/>
      <c r="G97" s="68"/>
      <c r="H97" s="68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</row>
    <row r="98" spans="1:69" ht="13.5">
      <c r="A98" s="16"/>
      <c r="B98" s="19" t="s">
        <v>29</v>
      </c>
      <c r="C98" s="19" t="s">
        <v>77</v>
      </c>
      <c r="D98" s="19" t="s">
        <v>6</v>
      </c>
      <c r="E98" s="19" t="s">
        <v>116</v>
      </c>
      <c r="F98" s="19" t="s">
        <v>6</v>
      </c>
      <c r="G98" s="19" t="s">
        <v>76</v>
      </c>
      <c r="H98" s="19" t="s">
        <v>32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</row>
    <row r="99" spans="1:69" ht="12.75">
      <c r="A99" s="13">
        <v>1807</v>
      </c>
      <c r="B99" s="11">
        <f aca="true" t="shared" si="31" ref="B99:C109">B10-B55</f>
        <v>782613</v>
      </c>
      <c r="C99" s="11">
        <f t="shared" si="31"/>
        <v>460900.7092615035</v>
      </c>
      <c r="D99" s="12">
        <f>100*C99/B99</f>
        <v>58.89254449664182</v>
      </c>
      <c r="E99" s="11" t="s">
        <v>83</v>
      </c>
      <c r="F99" s="12" t="s">
        <v>83</v>
      </c>
      <c r="G99" s="11">
        <f>C99*H99/1000</f>
        <v>720858.3521719982</v>
      </c>
      <c r="H99" s="11">
        <f>H101*H55/H57</f>
        <v>1564.0209218315638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</row>
    <row r="100" spans="1:69" ht="12.75">
      <c r="A100" s="13">
        <v>1817</v>
      </c>
      <c r="B100" s="11">
        <f t="shared" si="31"/>
        <v>729476</v>
      </c>
      <c r="C100" s="11">
        <f t="shared" si="31"/>
        <v>460633.995</v>
      </c>
      <c r="D100" s="12">
        <f aca="true" t="shared" si="32" ref="D100:D109">100*C100/B100</f>
        <v>63.14587388755764</v>
      </c>
      <c r="E100" s="11" t="s">
        <v>83</v>
      </c>
      <c r="F100" s="12" t="s">
        <v>83</v>
      </c>
      <c r="G100" s="11">
        <f>C100*H100/1000</f>
        <v>666030.4751764132</v>
      </c>
      <c r="H100" s="11">
        <f>H101*H56/H57</f>
        <v>1445.899526317881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</row>
    <row r="101" spans="1:69" ht="12.75">
      <c r="A101" s="13">
        <v>1827</v>
      </c>
      <c r="B101" s="11">
        <f t="shared" si="31"/>
        <v>768066</v>
      </c>
      <c r="C101" s="11">
        <f t="shared" si="31"/>
        <v>483733.7359999999</v>
      </c>
      <c r="D101" s="12">
        <f t="shared" si="32"/>
        <v>62.980751133366134</v>
      </c>
      <c r="E101" s="11" t="s">
        <v>83</v>
      </c>
      <c r="F101" s="12" t="s">
        <v>83</v>
      </c>
      <c r="G101" s="11">
        <f aca="true" t="shared" si="33" ref="G101:G109">G12-G57</f>
        <v>1230435.255328</v>
      </c>
      <c r="H101" s="11">
        <f aca="true" t="shared" si="34" ref="H101:H109">1000*G101/C101</f>
        <v>2543.6209297753016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</row>
    <row r="102" spans="1:69" ht="12.75">
      <c r="A102" s="13">
        <v>1837</v>
      </c>
      <c r="B102" s="11">
        <f t="shared" si="31"/>
        <v>824966</v>
      </c>
      <c r="C102" s="11">
        <f t="shared" si="31"/>
        <v>532758.861</v>
      </c>
      <c r="D102" s="12">
        <f t="shared" si="32"/>
        <v>64.57949309426085</v>
      </c>
      <c r="E102" s="11" t="s">
        <v>83</v>
      </c>
      <c r="F102" s="12" t="s">
        <v>83</v>
      </c>
      <c r="G102" s="11">
        <f t="shared" si="33"/>
        <v>1511746.364</v>
      </c>
      <c r="H102" s="11">
        <f t="shared" si="34"/>
        <v>2837.5808919675574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</row>
    <row r="103" spans="1:69" ht="12.75">
      <c r="A103" s="13">
        <v>1847</v>
      </c>
      <c r="B103" s="11">
        <f t="shared" si="31"/>
        <v>818180</v>
      </c>
      <c r="C103" s="11">
        <f t="shared" si="31"/>
        <v>540517.5725</v>
      </c>
      <c r="D103" s="12">
        <f t="shared" si="32"/>
        <v>66.06340566867927</v>
      </c>
      <c r="E103" s="11" t="s">
        <v>83</v>
      </c>
      <c r="F103" s="12" t="s">
        <v>83</v>
      </c>
      <c r="G103" s="11">
        <f t="shared" si="33"/>
        <v>1818784.831</v>
      </c>
      <c r="H103" s="11">
        <f t="shared" si="34"/>
        <v>3364.894914679208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</row>
    <row r="104" spans="1:69" ht="12.75">
      <c r="A104" s="13">
        <v>1857</v>
      </c>
      <c r="B104" s="11">
        <f t="shared" si="31"/>
        <v>825549</v>
      </c>
      <c r="C104" s="11">
        <f t="shared" si="31"/>
        <v>521220.60399999993</v>
      </c>
      <c r="D104" s="12">
        <f>100*C104/B104</f>
        <v>63.13624073192505</v>
      </c>
      <c r="E104" s="11" t="s">
        <v>83</v>
      </c>
      <c r="F104" s="12" t="s">
        <v>83</v>
      </c>
      <c r="G104" s="11">
        <f t="shared" si="33"/>
        <v>1921117.488</v>
      </c>
      <c r="H104" s="11">
        <f>1000*G104/C104</f>
        <v>3685.804961002655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</row>
    <row r="105" spans="1:69" ht="12.75">
      <c r="A105" s="13">
        <v>1867</v>
      </c>
      <c r="B105" s="11">
        <f t="shared" si="31"/>
        <v>822176</v>
      </c>
      <c r="C105" s="11">
        <f t="shared" si="31"/>
        <v>551993.818</v>
      </c>
      <c r="D105" s="12">
        <f t="shared" si="32"/>
        <v>67.13815752344996</v>
      </c>
      <c r="E105" s="11" t="s">
        <v>83</v>
      </c>
      <c r="F105" s="12" t="s">
        <v>83</v>
      </c>
      <c r="G105" s="11">
        <f t="shared" si="33"/>
        <v>2741428.834</v>
      </c>
      <c r="H105" s="11">
        <f t="shared" si="34"/>
        <v>4966.412203551164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</row>
    <row r="106" spans="1:69" ht="12.75">
      <c r="A106" s="13">
        <v>1877</v>
      </c>
      <c r="B106" s="11">
        <f t="shared" si="31"/>
        <v>754491</v>
      </c>
      <c r="C106" s="11">
        <f t="shared" si="31"/>
        <v>530778.4</v>
      </c>
      <c r="D106" s="12">
        <f>100*C106/B106</f>
        <v>70.34920230990164</v>
      </c>
      <c r="E106" s="11" t="s">
        <v>83</v>
      </c>
      <c r="F106" s="12" t="s">
        <v>83</v>
      </c>
      <c r="G106" s="11">
        <f t="shared" si="33"/>
        <v>3611869.884</v>
      </c>
      <c r="H106" s="11">
        <f>1000*G106/C106</f>
        <v>6804.854688887113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</row>
    <row r="107" spans="1:69" ht="12.75">
      <c r="A107" s="13">
        <v>1887</v>
      </c>
      <c r="B107" s="11">
        <f t="shared" si="31"/>
        <v>789964</v>
      </c>
      <c r="C107" s="11">
        <f t="shared" si="31"/>
        <v>549565.1200000001</v>
      </c>
      <c r="D107" s="12">
        <f>100*C107/B107</f>
        <v>69.56837526773374</v>
      </c>
      <c r="E107" s="11" t="s">
        <v>83</v>
      </c>
      <c r="F107" s="12" t="s">
        <v>83</v>
      </c>
      <c r="G107" s="11">
        <f t="shared" si="33"/>
        <v>4323952.348</v>
      </c>
      <c r="H107" s="11">
        <f>1000*G107/C107</f>
        <v>7867.952660459963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</row>
    <row r="108" spans="1:69" ht="12.75">
      <c r="A108" s="13" t="s">
        <v>122</v>
      </c>
      <c r="B108" s="11">
        <f t="shared" si="31"/>
        <v>717890</v>
      </c>
      <c r="C108" s="11">
        <f t="shared" si="31"/>
        <v>523444</v>
      </c>
      <c r="D108" s="12">
        <f t="shared" si="32"/>
        <v>72.9142347713438</v>
      </c>
      <c r="E108" s="11">
        <f>E19-E64</f>
        <v>353782</v>
      </c>
      <c r="F108" s="12">
        <f>100*E108/C108</f>
        <v>67.5873636912449</v>
      </c>
      <c r="G108" s="11">
        <f t="shared" si="33"/>
        <v>4005274.6100000003</v>
      </c>
      <c r="H108" s="11">
        <f t="shared" si="34"/>
        <v>7651.772892611245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</row>
    <row r="109" spans="1:69" ht="12.75">
      <c r="A109" s="13" t="s">
        <v>123</v>
      </c>
      <c r="B109" s="11">
        <f t="shared" si="31"/>
        <v>717890</v>
      </c>
      <c r="C109" s="11">
        <f t="shared" si="31"/>
        <v>523444</v>
      </c>
      <c r="D109" s="12">
        <f t="shared" si="32"/>
        <v>72.9142347713438</v>
      </c>
      <c r="E109" s="11">
        <f>E20-E65</f>
        <v>354145</v>
      </c>
      <c r="F109" s="12">
        <f>100*E109/C109</f>
        <v>67.65671208381413</v>
      </c>
      <c r="G109" s="11">
        <f t="shared" si="33"/>
        <v>3533209.1119999997</v>
      </c>
      <c r="H109" s="11">
        <f t="shared" si="34"/>
        <v>6749.927617854058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</row>
    <row r="110" spans="1:69" ht="12.75">
      <c r="A110" s="13"/>
      <c r="B110" s="11"/>
      <c r="C110" s="11"/>
      <c r="D110" s="12"/>
      <c r="E110" s="11"/>
      <c r="F110" s="12"/>
      <c r="G110" s="11"/>
      <c r="H110" s="11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</row>
    <row r="111" spans="1:69" ht="12.75">
      <c r="A111" s="19" t="s">
        <v>113</v>
      </c>
      <c r="B111" s="11">
        <f>B67-B65</f>
        <v>22227</v>
      </c>
      <c r="C111" s="11">
        <f>C67-C65</f>
        <v>16117</v>
      </c>
      <c r="D111" s="12">
        <f>100*C111/B111</f>
        <v>72.51091015431682</v>
      </c>
      <c r="E111" s="11">
        <f>E67-E65</f>
        <v>5560</v>
      </c>
      <c r="F111" s="12">
        <f>100*E111/C111</f>
        <v>34.497735310541664</v>
      </c>
      <c r="G111" s="11">
        <f>G67-G65</f>
        <v>76102.11199999996</v>
      </c>
      <c r="H111" s="11">
        <f>1000*G111/C111</f>
        <v>4721.853446671214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</row>
    <row r="112" spans="1:69" ht="12.75">
      <c r="A112" s="13"/>
      <c r="B112" s="11"/>
      <c r="C112" s="11"/>
      <c r="D112" s="12"/>
      <c r="E112" s="11"/>
      <c r="F112" s="12"/>
      <c r="G112" s="11"/>
      <c r="H112" s="11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</row>
    <row r="113" spans="1:69" ht="12.75">
      <c r="A113" s="13">
        <v>1902</v>
      </c>
      <c r="B113" s="11">
        <f>B19-B67</f>
        <v>695663</v>
      </c>
      <c r="C113" s="11">
        <f>C19-C67</f>
        <v>507327</v>
      </c>
      <c r="D113" s="12">
        <f aca="true" t="shared" si="35" ref="D113:D123">100*C113/B113</f>
        <v>72.92712132167443</v>
      </c>
      <c r="E113" s="11">
        <f>E19-E67</f>
        <v>348585</v>
      </c>
      <c r="F113" s="12">
        <f aca="true" t="shared" si="36" ref="F113:F123">100*E113/C113</f>
        <v>68.71012187405756</v>
      </c>
      <c r="G113" s="11">
        <f>G19-G67</f>
        <v>4059981</v>
      </c>
      <c r="H113" s="11">
        <f aca="true" t="shared" si="37" ref="H113:H123">1000*G113/C113</f>
        <v>8002.6905723527425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</row>
    <row r="114" spans="1:69" ht="12.75">
      <c r="A114" s="13">
        <v>1903</v>
      </c>
      <c r="B114" s="11">
        <f aca="true" t="shared" si="38" ref="B114:C122">B23-B68</f>
        <v>690521</v>
      </c>
      <c r="C114" s="11">
        <f t="shared" si="38"/>
        <v>504270.0000000001</v>
      </c>
      <c r="D114" s="12">
        <f t="shared" si="35"/>
        <v>73.0274676657191</v>
      </c>
      <c r="E114" s="11">
        <f aca="true" t="shared" si="39" ref="E114:E122">E23-E68</f>
        <v>369716</v>
      </c>
      <c r="F114" s="12">
        <f t="shared" si="36"/>
        <v>73.31707220338309</v>
      </c>
      <c r="G114" s="11">
        <f aca="true" t="shared" si="40" ref="G114:G122">G23-G68</f>
        <v>3509680</v>
      </c>
      <c r="H114" s="11">
        <f t="shared" si="37"/>
        <v>6959.922263866578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</row>
    <row r="115" spans="1:69" ht="12.75">
      <c r="A115" s="13">
        <v>1904</v>
      </c>
      <c r="B115" s="11">
        <f t="shared" si="38"/>
        <v>696175</v>
      </c>
      <c r="C115" s="11">
        <f t="shared" si="38"/>
        <v>507743</v>
      </c>
      <c r="D115" s="12">
        <f t="shared" si="35"/>
        <v>72.93324236003879</v>
      </c>
      <c r="E115" s="11">
        <f t="shared" si="39"/>
        <v>365875</v>
      </c>
      <c r="F115" s="12">
        <f t="shared" si="36"/>
        <v>72.0590928875435</v>
      </c>
      <c r="G115" s="11">
        <f t="shared" si="40"/>
        <v>3521920</v>
      </c>
      <c r="H115" s="11">
        <f t="shared" si="37"/>
        <v>6936.422560232243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</row>
    <row r="116" spans="1:69" ht="12.75">
      <c r="A116" s="13">
        <v>1905</v>
      </c>
      <c r="B116" s="11">
        <f t="shared" si="38"/>
        <v>704409</v>
      </c>
      <c r="C116" s="11">
        <f t="shared" si="38"/>
        <v>526334</v>
      </c>
      <c r="D116" s="12">
        <f t="shared" si="35"/>
        <v>74.71994253338615</v>
      </c>
      <c r="E116" s="11">
        <f t="shared" si="39"/>
        <v>368447</v>
      </c>
      <c r="F116" s="12">
        <f t="shared" si="36"/>
        <v>70.0025079132262</v>
      </c>
      <c r="G116" s="11">
        <f t="shared" si="40"/>
        <v>3755430</v>
      </c>
      <c r="H116" s="11">
        <f t="shared" si="37"/>
        <v>7135.070126573621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</row>
    <row r="117" spans="1:69" ht="12.75">
      <c r="A117" s="13">
        <v>1907</v>
      </c>
      <c r="B117" s="11">
        <f t="shared" si="38"/>
        <v>720984</v>
      </c>
      <c r="C117" s="11">
        <f t="shared" si="38"/>
        <v>553314.9999999999</v>
      </c>
      <c r="D117" s="12">
        <f t="shared" si="35"/>
        <v>76.74442151282135</v>
      </c>
      <c r="E117" s="11">
        <f t="shared" si="39"/>
        <v>383721</v>
      </c>
      <c r="F117" s="12">
        <f t="shared" si="36"/>
        <v>69.34946639798308</v>
      </c>
      <c r="G117" s="11">
        <f t="shared" si="40"/>
        <v>3994804</v>
      </c>
      <c r="H117" s="11">
        <f t="shared" si="37"/>
        <v>7219.76451026992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</row>
    <row r="118" spans="1:69" ht="12.75">
      <c r="A118" s="13">
        <v>1909</v>
      </c>
      <c r="B118" s="11">
        <f t="shared" si="38"/>
        <v>686622</v>
      </c>
      <c r="C118" s="11">
        <f t="shared" si="38"/>
        <v>536568</v>
      </c>
      <c r="D118" s="12">
        <f t="shared" si="35"/>
        <v>78.14605416080464</v>
      </c>
      <c r="E118" s="11">
        <f t="shared" si="39"/>
        <v>360455</v>
      </c>
      <c r="F118" s="12">
        <f t="shared" si="36"/>
        <v>67.17787866589137</v>
      </c>
      <c r="G118" s="11">
        <f t="shared" si="40"/>
        <v>4037716</v>
      </c>
      <c r="H118" s="11">
        <f t="shared" si="37"/>
        <v>7525.077902521209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</row>
    <row r="119" spans="1:69" ht="12.75">
      <c r="A119" s="13">
        <v>1910</v>
      </c>
      <c r="B119" s="11">
        <f t="shared" si="38"/>
        <v>637179</v>
      </c>
      <c r="C119" s="11">
        <f t="shared" si="38"/>
        <v>495106</v>
      </c>
      <c r="D119" s="12">
        <f t="shared" si="35"/>
        <v>77.70281192569121</v>
      </c>
      <c r="E119" s="11">
        <f t="shared" si="39"/>
        <v>341741</v>
      </c>
      <c r="F119" s="12">
        <f t="shared" si="36"/>
        <v>69.02380500337301</v>
      </c>
      <c r="G119" s="11">
        <f t="shared" si="40"/>
        <v>3762222</v>
      </c>
      <c r="H119" s="11">
        <f t="shared" si="37"/>
        <v>7598.821262517521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</row>
    <row r="120" spans="1:69" ht="12.75">
      <c r="A120" s="13">
        <v>1911</v>
      </c>
      <c r="B120" s="11">
        <f t="shared" si="38"/>
        <v>704006</v>
      </c>
      <c r="C120" s="11">
        <f t="shared" si="38"/>
        <v>525836</v>
      </c>
      <c r="D120" s="12">
        <f t="shared" si="35"/>
        <v>74.69197705701372</v>
      </c>
      <c r="E120" s="11">
        <f t="shared" si="39"/>
        <v>341231</v>
      </c>
      <c r="F120" s="12">
        <f t="shared" si="36"/>
        <v>64.89304650119048</v>
      </c>
      <c r="G120" s="11">
        <f t="shared" si="40"/>
        <v>3900051</v>
      </c>
      <c r="H120" s="11">
        <f t="shared" si="37"/>
        <v>7416.858107851117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</row>
    <row r="121" spans="1:69" ht="12.75">
      <c r="A121" s="13">
        <v>1912</v>
      </c>
      <c r="B121" s="11">
        <f t="shared" si="38"/>
        <v>623695</v>
      </c>
      <c r="C121" s="11">
        <f t="shared" si="38"/>
        <v>490067</v>
      </c>
      <c r="D121" s="12">
        <f t="shared" si="35"/>
        <v>78.57478414930375</v>
      </c>
      <c r="E121" s="11">
        <f t="shared" si="39"/>
        <v>340933</v>
      </c>
      <c r="F121" s="12">
        <f t="shared" si="36"/>
        <v>69.56865081713316</v>
      </c>
      <c r="G121" s="11">
        <f t="shared" si="40"/>
        <v>3720133</v>
      </c>
      <c r="H121" s="11">
        <f t="shared" si="37"/>
        <v>7591.070200605223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</row>
    <row r="122" spans="1:69" ht="12.75">
      <c r="A122" s="13">
        <v>1913</v>
      </c>
      <c r="B122" s="11">
        <f t="shared" si="38"/>
        <v>636367</v>
      </c>
      <c r="C122" s="11">
        <f t="shared" si="38"/>
        <v>496703</v>
      </c>
      <c r="D122" s="12">
        <f t="shared" si="35"/>
        <v>78.0529160060154</v>
      </c>
      <c r="E122" s="11">
        <f t="shared" si="39"/>
        <v>341271</v>
      </c>
      <c r="F122" s="12">
        <f t="shared" si="36"/>
        <v>68.70725564371466</v>
      </c>
      <c r="G122" s="11">
        <f t="shared" si="40"/>
        <v>3881272</v>
      </c>
      <c r="H122" s="11">
        <f t="shared" si="37"/>
        <v>7814.0699774311815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</row>
    <row r="123" spans="1:69" ht="12.75">
      <c r="A123" s="13" t="s">
        <v>74</v>
      </c>
      <c r="B123" s="11">
        <f>AVERAGE(B113:B122)</f>
        <v>679562.1</v>
      </c>
      <c r="C123" s="11">
        <f>AVERAGE(C113:C122)</f>
        <v>514326.9</v>
      </c>
      <c r="D123" s="12">
        <f t="shared" si="35"/>
        <v>75.68504776826136</v>
      </c>
      <c r="E123" s="11">
        <f>AVERAGE(E113:E122)</f>
        <v>356197.5</v>
      </c>
      <c r="F123" s="12">
        <f t="shared" si="36"/>
        <v>69.25507882243764</v>
      </c>
      <c r="G123" s="11">
        <f>AVERAGE(G113:G122)</f>
        <v>3814320.9</v>
      </c>
      <c r="H123" s="11">
        <f t="shared" si="37"/>
        <v>7416.141174027646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</row>
    <row r="124" spans="1:69" ht="12.75">
      <c r="A124" s="13"/>
      <c r="B124" s="11"/>
      <c r="C124" s="11"/>
      <c r="D124" s="12"/>
      <c r="E124" s="11"/>
      <c r="F124" s="12"/>
      <c r="G124" s="11"/>
      <c r="H124" s="11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</row>
    <row r="125" spans="1:69" ht="12.75">
      <c r="A125" s="13"/>
      <c r="B125" s="11" t="s">
        <v>130</v>
      </c>
      <c r="C125" s="11" t="s">
        <v>130</v>
      </c>
      <c r="D125" s="11" t="s">
        <v>130</v>
      </c>
      <c r="E125" s="11"/>
      <c r="F125" s="12"/>
      <c r="G125" s="11" t="s">
        <v>130</v>
      </c>
      <c r="H125" s="11" t="s">
        <v>130</v>
      </c>
      <c r="I125" s="11" t="s">
        <v>131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</row>
    <row r="126" spans="1:69" ht="12.75">
      <c r="A126" s="13" t="s">
        <v>117</v>
      </c>
      <c r="B126" s="17">
        <f aca="true" t="shared" si="41" ref="B126:B131">B100/B99</f>
        <v>0.9321030956551961</v>
      </c>
      <c r="C126" s="17">
        <f aca="true" t="shared" si="42" ref="C126:H126">C100/C99</f>
        <v>0.9994213194813025</v>
      </c>
      <c r="D126" s="17">
        <f t="shared" si="42"/>
        <v>1.0722218648772828</v>
      </c>
      <c r="E126" s="17"/>
      <c r="F126" s="17"/>
      <c r="G126" s="17">
        <f t="shared" si="42"/>
        <v>0.9239408452015785</v>
      </c>
      <c r="H126" s="17">
        <f t="shared" si="42"/>
        <v>0.9244758213494002</v>
      </c>
      <c r="I126" s="12">
        <f aca="true" t="shared" si="43" ref="I126:I131">100*(H126^(1/10)-1)</f>
        <v>-0.782208518992944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</row>
    <row r="127" spans="1:69" ht="12.75">
      <c r="A127" s="13" t="s">
        <v>118</v>
      </c>
      <c r="B127" s="17">
        <f t="shared" si="41"/>
        <v>1.0529009864615149</v>
      </c>
      <c r="C127" s="17">
        <f aca="true" t="shared" si="44" ref="C127:D129">C101/C100</f>
        <v>1.050147712176562</v>
      </c>
      <c r="D127" s="17">
        <f t="shared" si="44"/>
        <v>0.997385058689891</v>
      </c>
      <c r="E127" s="17"/>
      <c r="F127" s="17"/>
      <c r="G127" s="17">
        <f aca="true" t="shared" si="45" ref="G127:H131">G101/G100</f>
        <v>1.847415848354524</v>
      </c>
      <c r="H127" s="17">
        <f t="shared" si="45"/>
        <v>1.7591961844353536</v>
      </c>
      <c r="I127" s="12">
        <f t="shared" si="43"/>
        <v>5.811148278104583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</row>
    <row r="128" spans="1:69" ht="12.75">
      <c r="A128" s="13" t="s">
        <v>120</v>
      </c>
      <c r="B128" s="17">
        <f t="shared" si="41"/>
        <v>1.074082175229733</v>
      </c>
      <c r="C128" s="17">
        <f t="shared" si="44"/>
        <v>1.1013473350140708</v>
      </c>
      <c r="D128" s="17">
        <f t="shared" si="44"/>
        <v>1.025384612474838</v>
      </c>
      <c r="E128" s="17"/>
      <c r="F128" s="17"/>
      <c r="G128" s="17">
        <f t="shared" si="45"/>
        <v>1.228627314971571</v>
      </c>
      <c r="H128" s="17">
        <f t="shared" si="45"/>
        <v>1.1155675198105182</v>
      </c>
      <c r="I128" s="12">
        <f t="shared" si="43"/>
        <v>1.0996346395785173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</row>
    <row r="129" spans="1:69" ht="12.75">
      <c r="A129" s="13" t="s">
        <v>195</v>
      </c>
      <c r="B129" s="17">
        <f t="shared" si="41"/>
        <v>0.9917742064521446</v>
      </c>
      <c r="C129" s="17">
        <f t="shared" si="44"/>
        <v>1.0145632706801662</v>
      </c>
      <c r="D129" s="17">
        <f t="shared" si="44"/>
        <v>1.0229780771467574</v>
      </c>
      <c r="E129" s="17"/>
      <c r="F129" s="17"/>
      <c r="G129" s="17">
        <f t="shared" si="45"/>
        <v>1.2031018392447743</v>
      </c>
      <c r="H129" s="17">
        <f t="shared" si="45"/>
        <v>1.1858322433042658</v>
      </c>
      <c r="I129" s="12">
        <f t="shared" si="43"/>
        <v>1.7190570339887357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</row>
    <row r="130" spans="1:69" ht="12.75">
      <c r="A130" s="13" t="s">
        <v>222</v>
      </c>
      <c r="B130" s="17">
        <f t="shared" si="41"/>
        <v>1.009006575570168</v>
      </c>
      <c r="C130" s="17">
        <f>C104/C103</f>
        <v>0.9642990913121514</v>
      </c>
      <c r="D130" s="17">
        <f>D104/D103</f>
        <v>0.9556915828494444</v>
      </c>
      <c r="E130" s="17"/>
      <c r="F130" s="17"/>
      <c r="G130" s="17">
        <f t="shared" si="45"/>
        <v>1.0562643008979438</v>
      </c>
      <c r="H130" s="17">
        <f t="shared" si="45"/>
        <v>1.0953700054416236</v>
      </c>
      <c r="I130" s="12">
        <f t="shared" si="43"/>
        <v>0.9150836289468556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</row>
    <row r="131" spans="1:69" ht="12.75">
      <c r="A131" s="13" t="s">
        <v>223</v>
      </c>
      <c r="B131" s="17">
        <f t="shared" si="41"/>
        <v>0.9959142340430429</v>
      </c>
      <c r="C131" s="17">
        <f>C105/C104</f>
        <v>1.0590406706178486</v>
      </c>
      <c r="D131" s="17">
        <f>D105/D104</f>
        <v>1.063385414543716</v>
      </c>
      <c r="E131" s="17"/>
      <c r="F131" s="17"/>
      <c r="G131" s="17">
        <f t="shared" si="45"/>
        <v>1.4269969697969873</v>
      </c>
      <c r="H131" s="17">
        <f t="shared" si="45"/>
        <v>1.347443029703922</v>
      </c>
      <c r="I131" s="12">
        <f t="shared" si="43"/>
        <v>3.0269969738067948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</row>
    <row r="132" spans="1:69" ht="12.75">
      <c r="A132" s="13" t="s">
        <v>124</v>
      </c>
      <c r="B132" s="17">
        <f aca="true" t="shared" si="46" ref="B132:H132">B108/B105</f>
        <v>0.8731585451290235</v>
      </c>
      <c r="C132" s="17">
        <f t="shared" si="46"/>
        <v>0.9482787359767134</v>
      </c>
      <c r="D132" s="17">
        <f t="shared" si="46"/>
        <v>1.0860327042170672</v>
      </c>
      <c r="E132" s="17"/>
      <c r="F132" s="17"/>
      <c r="G132" s="17">
        <f t="shared" si="46"/>
        <v>1.461017174812425</v>
      </c>
      <c r="H132" s="17">
        <f t="shared" si="46"/>
        <v>1.5407043513504481</v>
      </c>
      <c r="I132" s="12">
        <f>100*(H132^(1/35)-1)</f>
        <v>1.2426277725699153</v>
      </c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</row>
    <row r="133" spans="1:69" ht="12.75">
      <c r="A133" s="13" t="s">
        <v>125</v>
      </c>
      <c r="B133" s="17">
        <f>B108/B99</f>
        <v>0.9172988437452483</v>
      </c>
      <c r="C133" s="17">
        <f aca="true" t="shared" si="47" ref="C133:H133">C108/C99</f>
        <v>1.135697970260686</v>
      </c>
      <c r="D133" s="17">
        <f t="shared" si="47"/>
        <v>1.2380893947535503</v>
      </c>
      <c r="E133" s="17"/>
      <c r="F133" s="17"/>
      <c r="G133" s="17">
        <f t="shared" si="47"/>
        <v>5.556257478229695</v>
      </c>
      <c r="H133" s="17">
        <f t="shared" si="47"/>
        <v>4.89237246497352</v>
      </c>
      <c r="I133" s="12">
        <f>100*(H133^(1/95)-1)</f>
        <v>1.685282646173203</v>
      </c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</row>
    <row r="134" spans="1:69" ht="12.75">
      <c r="A134" s="13" t="s">
        <v>126</v>
      </c>
      <c r="B134" s="17">
        <f>B108/B101</f>
        <v>0.9346722807675382</v>
      </c>
      <c r="C134" s="17">
        <f aca="true" t="shared" si="48" ref="C134:H134">C108/C101</f>
        <v>1.0820911609935762</v>
      </c>
      <c r="D134" s="17">
        <f t="shared" si="48"/>
        <v>1.1577225336189279</v>
      </c>
      <c r="E134" s="17"/>
      <c r="F134" s="17"/>
      <c r="G134" s="17">
        <f t="shared" si="48"/>
        <v>3.255168927138962</v>
      </c>
      <c r="H134" s="17">
        <f t="shared" si="48"/>
        <v>3.0082206051383555</v>
      </c>
      <c r="I134" s="12">
        <f>100*(H134^(1/75)-1)</f>
        <v>1.479299908332421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</row>
    <row r="135" spans="1:69" ht="12.75">
      <c r="A135" s="13" t="s">
        <v>127</v>
      </c>
      <c r="B135" s="17">
        <f>B122/B113</f>
        <v>0.9147633264957314</v>
      </c>
      <c r="C135" s="17">
        <f aca="true" t="shared" si="49" ref="C135:H135">C122/C113</f>
        <v>0.9790588712999703</v>
      </c>
      <c r="D135" s="17">
        <f t="shared" si="49"/>
        <v>1.0702865352621225</v>
      </c>
      <c r="E135" s="17"/>
      <c r="F135" s="17"/>
      <c r="G135" s="17">
        <f t="shared" si="49"/>
        <v>0.9559827989342807</v>
      </c>
      <c r="H135" s="17">
        <f t="shared" si="49"/>
        <v>0.9764303526150071</v>
      </c>
      <c r="I135" s="12">
        <f>100*(H135^(1/11)-1)</f>
        <v>-0.21660012533709638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</row>
    <row r="136" spans="1:69" ht="12.75">
      <c r="A136" s="13"/>
      <c r="B136" s="17"/>
      <c r="C136" s="17"/>
      <c r="D136" s="17"/>
      <c r="E136" s="17"/>
      <c r="F136" s="17"/>
      <c r="G136" s="17"/>
      <c r="H136" s="17"/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</row>
    <row r="137" spans="1:69" ht="12.75">
      <c r="A137" s="34" t="s">
        <v>138</v>
      </c>
      <c r="B137" s="17"/>
      <c r="C137" s="17"/>
      <c r="D137" s="17"/>
      <c r="E137" s="17"/>
      <c r="F137" s="17"/>
      <c r="G137" s="17"/>
      <c r="H137" s="17"/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</row>
    <row r="138" spans="1:69" ht="12.75">
      <c r="A138" s="13"/>
      <c r="B138" s="17"/>
      <c r="C138" s="17"/>
      <c r="D138" s="17"/>
      <c r="E138" s="17"/>
      <c r="F138" s="17"/>
      <c r="G138" s="17"/>
      <c r="H138" s="17"/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</row>
    <row r="139" spans="1:69" ht="12.75">
      <c r="A139" s="13"/>
      <c r="B139" s="17"/>
      <c r="C139" s="17"/>
      <c r="D139" s="17"/>
      <c r="E139" s="17"/>
      <c r="F139" s="17"/>
      <c r="G139" s="17"/>
      <c r="H139" s="17"/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</row>
    <row r="140" spans="1:69" ht="12.75">
      <c r="A140" s="20" t="s">
        <v>139</v>
      </c>
      <c r="B140" s="17"/>
      <c r="C140" s="17"/>
      <c r="D140" s="17"/>
      <c r="E140" s="17"/>
      <c r="F140" s="17"/>
      <c r="G140" s="17"/>
      <c r="H140" s="17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</row>
    <row r="141" spans="1:69" ht="12.75">
      <c r="A141" s="20" t="s">
        <v>140</v>
      </c>
      <c r="B141" s="17"/>
      <c r="C141" s="17"/>
      <c r="D141" s="17"/>
      <c r="E141" s="17"/>
      <c r="F141" s="17"/>
      <c r="G141" s="17"/>
      <c r="H141" s="17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</row>
    <row r="142" spans="1:69" ht="12.75">
      <c r="A142" s="20" t="s">
        <v>141</v>
      </c>
      <c r="B142" s="17"/>
      <c r="C142" s="17"/>
      <c r="D142" s="17"/>
      <c r="E142" s="17"/>
      <c r="F142" s="17"/>
      <c r="G142" s="17"/>
      <c r="H142" s="17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</row>
    <row r="143" spans="1:69" ht="12.75">
      <c r="A143" s="20" t="s">
        <v>142</v>
      </c>
      <c r="B143" s="17"/>
      <c r="C143" s="17"/>
      <c r="D143" s="17"/>
      <c r="E143" s="17"/>
      <c r="F143" s="17"/>
      <c r="G143" s="17"/>
      <c r="H143" s="17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</row>
    <row r="144" spans="1:69" ht="12.75">
      <c r="A144" s="20" t="s">
        <v>143</v>
      </c>
      <c r="B144" s="17"/>
      <c r="C144" s="17"/>
      <c r="D144" s="17"/>
      <c r="E144" s="17"/>
      <c r="F144" s="17"/>
      <c r="G144" s="17"/>
      <c r="H144" s="17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</row>
    <row r="145" spans="1:69" ht="12.75">
      <c r="A145" s="20" t="s">
        <v>144</v>
      </c>
      <c r="B145" s="17"/>
      <c r="C145" s="17"/>
      <c r="D145" s="17"/>
      <c r="E145" s="17"/>
      <c r="F145" s="17"/>
      <c r="G145" s="17"/>
      <c r="H145" s="17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</row>
    <row r="146" spans="1:69" ht="12.75">
      <c r="A146" s="20" t="s">
        <v>145</v>
      </c>
      <c r="B146" s="17"/>
      <c r="C146" s="17"/>
      <c r="D146" s="17"/>
      <c r="E146" s="17"/>
      <c r="F146" s="17"/>
      <c r="G146" s="17"/>
      <c r="H146" s="17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</row>
    <row r="147" spans="1:69" ht="12.75">
      <c r="A147" s="20" t="s">
        <v>146</v>
      </c>
      <c r="B147" s="17"/>
      <c r="C147" s="17"/>
      <c r="D147" s="17"/>
      <c r="E147" s="17"/>
      <c r="F147" s="17"/>
      <c r="G147" s="17"/>
      <c r="H147" s="17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</row>
    <row r="148" spans="1:69" ht="12.75">
      <c r="A148" s="20" t="s">
        <v>147</v>
      </c>
      <c r="B148" s="17"/>
      <c r="C148" s="17"/>
      <c r="D148" s="17"/>
      <c r="E148" s="17"/>
      <c r="F148" s="17"/>
      <c r="G148" s="17"/>
      <c r="H148" s="17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</row>
    <row r="149" spans="1:69" ht="12.75">
      <c r="A149" s="13"/>
      <c r="B149" s="17"/>
      <c r="C149" s="17"/>
      <c r="D149" s="17"/>
      <c r="E149" s="17"/>
      <c r="F149" s="17"/>
      <c r="G149" s="17"/>
      <c r="H149" s="17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</row>
    <row r="150" spans="1:69" ht="12.75">
      <c r="A150" s="18" t="s">
        <v>82</v>
      </c>
      <c r="B150" s="17"/>
      <c r="C150" s="17"/>
      <c r="D150" s="17"/>
      <c r="E150" s="17"/>
      <c r="F150" s="17"/>
      <c r="G150" s="17"/>
      <c r="H150" s="17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</row>
    <row r="151" spans="1:69" ht="12.75">
      <c r="A151" s="13"/>
      <c r="B151" s="17"/>
      <c r="C151" s="17"/>
      <c r="D151" s="17"/>
      <c r="E151" s="17"/>
      <c r="F151" s="17"/>
      <c r="G151" s="17"/>
      <c r="H151" s="17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</row>
    <row r="152" spans="1:9" ht="12.75">
      <c r="A152" s="21" t="s">
        <v>10</v>
      </c>
      <c r="B152" s="13" t="s">
        <v>61</v>
      </c>
      <c r="C152" s="13" t="s">
        <v>50</v>
      </c>
      <c r="D152" s="13" t="s">
        <v>51</v>
      </c>
      <c r="E152" s="13" t="s">
        <v>52</v>
      </c>
      <c r="F152" s="13" t="s">
        <v>53</v>
      </c>
      <c r="G152" s="13" t="s">
        <v>54</v>
      </c>
      <c r="H152" s="13" t="s">
        <v>55</v>
      </c>
      <c r="I152" s="13" t="s">
        <v>56</v>
      </c>
    </row>
    <row r="153" spans="1:9" ht="12.75">
      <c r="A153" s="13">
        <v>1807</v>
      </c>
      <c r="B153" s="11">
        <f aca="true" t="shared" si="50" ref="B153:B162">1000*G55/C55</f>
        <v>5629.76</v>
      </c>
      <c r="C153" s="11">
        <v>28040</v>
      </c>
      <c r="D153" s="11">
        <v>54007</v>
      </c>
      <c r="E153" s="11">
        <v>96553</v>
      </c>
      <c r="F153" s="11">
        <v>287955</v>
      </c>
      <c r="G153" s="11">
        <v>437353</v>
      </c>
      <c r="H153" s="11">
        <v>1017156</v>
      </c>
      <c r="I153" s="11">
        <v>3015668</v>
      </c>
    </row>
    <row r="154" spans="1:9" ht="12.75">
      <c r="A154" s="13">
        <v>1817</v>
      </c>
      <c r="B154" s="11">
        <f t="shared" si="50"/>
        <v>5204.577</v>
      </c>
      <c r="C154" s="11">
        <v>25988</v>
      </c>
      <c r="D154" s="11">
        <v>50932</v>
      </c>
      <c r="E154" s="11">
        <v>93389</v>
      </c>
      <c r="F154" s="11">
        <v>294904</v>
      </c>
      <c r="G154" s="11">
        <v>444049</v>
      </c>
      <c r="H154" s="11">
        <v>953919</v>
      </c>
      <c r="I154" s="11">
        <v>1729989</v>
      </c>
    </row>
    <row r="155" spans="1:9" ht="12.75">
      <c r="A155" s="13">
        <v>1827</v>
      </c>
      <c r="B155" s="11">
        <f t="shared" si="50"/>
        <v>9155.872</v>
      </c>
      <c r="C155" s="11">
        <v>45720</v>
      </c>
      <c r="D155" s="11">
        <v>89305</v>
      </c>
      <c r="E155" s="11">
        <v>162848</v>
      </c>
      <c r="F155" s="11">
        <v>478395</v>
      </c>
      <c r="G155" s="11">
        <v>698148</v>
      </c>
      <c r="H155" s="11">
        <v>1546431</v>
      </c>
      <c r="I155" s="11">
        <v>3466819</v>
      </c>
    </row>
    <row r="156" spans="1:9" ht="12.75">
      <c r="A156" s="13">
        <v>1837</v>
      </c>
      <c r="B156" s="11">
        <f t="shared" si="50"/>
        <v>9718</v>
      </c>
      <c r="C156" s="11">
        <v>48516</v>
      </c>
      <c r="D156" s="11">
        <v>94948</v>
      </c>
      <c r="E156" s="11">
        <v>172639</v>
      </c>
      <c r="F156" s="11">
        <v>486205</v>
      </c>
      <c r="G156" s="11">
        <v>700393</v>
      </c>
      <c r="H156" s="11">
        <v>1434021</v>
      </c>
      <c r="I156" s="11">
        <v>2674681</v>
      </c>
    </row>
    <row r="157" spans="1:9" ht="12.75">
      <c r="A157" s="13">
        <v>1847</v>
      </c>
      <c r="B157" s="11">
        <f t="shared" si="50"/>
        <v>13001</v>
      </c>
      <c r="C157" s="11">
        <v>64962</v>
      </c>
      <c r="D157" s="11">
        <v>127780</v>
      </c>
      <c r="E157" s="11">
        <v>235881</v>
      </c>
      <c r="F157" s="11">
        <v>725321</v>
      </c>
      <c r="G157" s="11">
        <v>1086630</v>
      </c>
      <c r="H157" s="11">
        <v>2773768</v>
      </c>
      <c r="I157" s="11">
        <v>9451051</v>
      </c>
    </row>
    <row r="158" spans="1:9" ht="12.75">
      <c r="A158" s="13">
        <v>1857</v>
      </c>
      <c r="B158" s="11">
        <f t="shared" si="50"/>
        <v>16619</v>
      </c>
      <c r="C158" s="11">
        <v>82866</v>
      </c>
      <c r="D158" s="11">
        <v>161003</v>
      </c>
      <c r="E158" s="11">
        <v>292164</v>
      </c>
      <c r="F158" s="11">
        <v>848086</v>
      </c>
      <c r="G158" s="11">
        <v>1187798</v>
      </c>
      <c r="H158" s="11">
        <v>2218707</v>
      </c>
      <c r="I158" s="11">
        <v>4040818</v>
      </c>
    </row>
    <row r="159" spans="1:9" ht="12.75">
      <c r="A159" s="13">
        <v>1867</v>
      </c>
      <c r="B159" s="11">
        <f t="shared" si="50"/>
        <v>20622</v>
      </c>
      <c r="C159" s="11">
        <v>102900</v>
      </c>
      <c r="D159" s="11">
        <v>199618</v>
      </c>
      <c r="E159" s="11">
        <v>363605</v>
      </c>
      <c r="F159" s="11">
        <v>1080749</v>
      </c>
      <c r="G159" s="11">
        <v>1567401</v>
      </c>
      <c r="H159" s="11">
        <v>3293999</v>
      </c>
      <c r="I159" s="11">
        <v>8167825</v>
      </c>
    </row>
    <row r="160" spans="1:9" ht="12.75">
      <c r="A160" s="13">
        <v>1877</v>
      </c>
      <c r="B160" s="11">
        <f t="shared" si="50"/>
        <v>28708</v>
      </c>
      <c r="C160" s="11">
        <v>143235</v>
      </c>
      <c r="D160" s="11">
        <v>278190</v>
      </c>
      <c r="E160" s="11">
        <v>511945</v>
      </c>
      <c r="F160" s="11">
        <v>1693355</v>
      </c>
      <c r="G160" s="11">
        <v>2670192</v>
      </c>
      <c r="H160" s="11">
        <v>7064236</v>
      </c>
      <c r="I160" s="11">
        <v>30940500</v>
      </c>
    </row>
    <row r="161" spans="1:9" ht="12.75">
      <c r="A161" s="13">
        <v>1887</v>
      </c>
      <c r="B161" s="11">
        <f t="shared" si="50"/>
        <v>31532</v>
      </c>
      <c r="C161" s="11">
        <v>157374</v>
      </c>
      <c r="D161" s="11">
        <v>306053</v>
      </c>
      <c r="E161" s="11">
        <v>560499</v>
      </c>
      <c r="F161" s="11">
        <v>1749732</v>
      </c>
      <c r="G161" s="11">
        <v>2641286</v>
      </c>
      <c r="H161" s="11">
        <v>6340549</v>
      </c>
      <c r="I161" s="11">
        <v>19957840</v>
      </c>
    </row>
    <row r="162" spans="1:9" ht="12.75">
      <c r="A162" s="13" t="s">
        <v>172</v>
      </c>
      <c r="B162" s="11">
        <f t="shared" si="50"/>
        <v>37665</v>
      </c>
      <c r="C162" s="11">
        <v>188125</v>
      </c>
      <c r="D162" s="11">
        <v>370386</v>
      </c>
      <c r="E162" s="11">
        <v>698943</v>
      </c>
      <c r="F162" s="11">
        <v>2398835</v>
      </c>
      <c r="G162" s="11">
        <v>3756761</v>
      </c>
      <c r="H162" s="11">
        <v>9653260</v>
      </c>
      <c r="I162" s="11">
        <v>30671660</v>
      </c>
    </row>
    <row r="163" spans="1:9" ht="12.75">
      <c r="A163" s="13"/>
      <c r="B163" s="11"/>
      <c r="C163" s="11"/>
      <c r="D163" s="11"/>
      <c r="E163" s="11"/>
      <c r="F163" s="11"/>
      <c r="G163" s="11"/>
      <c r="H163" s="11"/>
      <c r="I163" s="11"/>
    </row>
    <row r="164" spans="1:9" ht="12.75">
      <c r="A164" s="13" t="s">
        <v>117</v>
      </c>
      <c r="B164" s="17">
        <f aca="true" t="shared" si="51" ref="B164:I169">B154/B153</f>
        <v>0.9244758213494003</v>
      </c>
      <c r="C164" s="17">
        <f t="shared" si="51"/>
        <v>0.9268188302425107</v>
      </c>
      <c r="D164" s="17">
        <f t="shared" si="51"/>
        <v>0.943062936286037</v>
      </c>
      <c r="E164" s="17">
        <f t="shared" si="51"/>
        <v>0.9672304330264208</v>
      </c>
      <c r="F164" s="17">
        <f t="shared" si="51"/>
        <v>1.0241322428851731</v>
      </c>
      <c r="G164" s="17">
        <f t="shared" si="51"/>
        <v>1.015310287113613</v>
      </c>
      <c r="H164" s="17">
        <f t="shared" si="51"/>
        <v>0.9378295954602833</v>
      </c>
      <c r="I164" s="17">
        <f t="shared" si="51"/>
        <v>0.5736669288529108</v>
      </c>
    </row>
    <row r="165" spans="1:9" ht="12.75">
      <c r="A165" s="13" t="s">
        <v>118</v>
      </c>
      <c r="B165" s="17">
        <f t="shared" si="51"/>
        <v>1.7591961844353536</v>
      </c>
      <c r="C165" s="17">
        <f t="shared" si="51"/>
        <v>1.7592735108511621</v>
      </c>
      <c r="D165" s="17">
        <f t="shared" si="51"/>
        <v>1.7534163197989476</v>
      </c>
      <c r="E165" s="17">
        <f t="shared" si="51"/>
        <v>1.743759971731146</v>
      </c>
      <c r="F165" s="17">
        <f t="shared" si="51"/>
        <v>1.622205870384939</v>
      </c>
      <c r="G165" s="17">
        <f t="shared" si="51"/>
        <v>1.5722318933270878</v>
      </c>
      <c r="H165" s="17">
        <f t="shared" si="51"/>
        <v>1.6211344988410965</v>
      </c>
      <c r="I165" s="17">
        <f t="shared" si="51"/>
        <v>2.0039543604034478</v>
      </c>
    </row>
    <row r="166" spans="1:9" ht="12.75">
      <c r="A166" s="13" t="s">
        <v>120</v>
      </c>
      <c r="B166" s="17">
        <f t="shared" si="51"/>
        <v>1.0613953537139882</v>
      </c>
      <c r="C166" s="17">
        <f t="shared" si="51"/>
        <v>1.0611548556430446</v>
      </c>
      <c r="D166" s="17">
        <f t="shared" si="51"/>
        <v>1.0631879514024971</v>
      </c>
      <c r="E166" s="17">
        <f t="shared" si="51"/>
        <v>1.0601235507958342</v>
      </c>
      <c r="F166" s="17">
        <f t="shared" si="51"/>
        <v>1.0163254214613446</v>
      </c>
      <c r="G166" s="17">
        <f t="shared" si="51"/>
        <v>1.0032156505497403</v>
      </c>
      <c r="H166" s="17">
        <f t="shared" si="51"/>
        <v>0.9273100448710612</v>
      </c>
      <c r="I166" s="17">
        <f t="shared" si="51"/>
        <v>0.7715086942814148</v>
      </c>
    </row>
    <row r="167" spans="1:9" ht="12.75">
      <c r="A167" s="13" t="s">
        <v>195</v>
      </c>
      <c r="B167" s="17">
        <f t="shared" si="51"/>
        <v>1.337826713315497</v>
      </c>
      <c r="C167" s="17">
        <f t="shared" si="51"/>
        <v>1.3389809547365819</v>
      </c>
      <c r="D167" s="17">
        <f t="shared" si="51"/>
        <v>1.345789274128997</v>
      </c>
      <c r="E167" s="17">
        <f t="shared" si="51"/>
        <v>1.3663251061463517</v>
      </c>
      <c r="F167" s="17">
        <f t="shared" si="51"/>
        <v>1.491800783620078</v>
      </c>
      <c r="G167" s="17">
        <f t="shared" si="51"/>
        <v>1.551457538838909</v>
      </c>
      <c r="H167" s="17">
        <f t="shared" si="51"/>
        <v>1.9342589822603713</v>
      </c>
      <c r="I167" s="17">
        <f t="shared" si="51"/>
        <v>3.5335245586296087</v>
      </c>
    </row>
    <row r="168" spans="1:9" ht="12.75">
      <c r="A168" s="13" t="s">
        <v>222</v>
      </c>
      <c r="B168" s="17">
        <f t="shared" si="51"/>
        <v>1.278286285670333</v>
      </c>
      <c r="C168" s="17">
        <f t="shared" si="51"/>
        <v>1.2756072781010437</v>
      </c>
      <c r="D168" s="17">
        <f t="shared" si="51"/>
        <v>1.2600015651901706</v>
      </c>
      <c r="E168" s="17">
        <f t="shared" si="51"/>
        <v>1.2386076029862516</v>
      </c>
      <c r="F168" s="17">
        <f t="shared" si="51"/>
        <v>1.169256094887643</v>
      </c>
      <c r="G168" s="17">
        <f t="shared" si="51"/>
        <v>1.093102527999411</v>
      </c>
      <c r="H168" s="17">
        <f t="shared" si="51"/>
        <v>0.7998891760233733</v>
      </c>
      <c r="I168" s="17">
        <f t="shared" si="51"/>
        <v>0.4275522373120196</v>
      </c>
    </row>
    <row r="169" spans="1:9" ht="12.75">
      <c r="A169" s="13" t="s">
        <v>223</v>
      </c>
      <c r="B169" s="17">
        <f t="shared" si="51"/>
        <v>1.2408688850111318</v>
      </c>
      <c r="C169" s="17">
        <f t="shared" si="51"/>
        <v>1.2417638114546377</v>
      </c>
      <c r="D169" s="17">
        <f t="shared" si="51"/>
        <v>1.2398402514238864</v>
      </c>
      <c r="E169" s="17">
        <f t="shared" si="51"/>
        <v>1.2445236237181856</v>
      </c>
      <c r="F169" s="17">
        <f t="shared" si="51"/>
        <v>1.274338923175244</v>
      </c>
      <c r="G169" s="17">
        <f t="shared" si="51"/>
        <v>1.3195854850740614</v>
      </c>
      <c r="H169" s="17">
        <f t="shared" si="51"/>
        <v>1.4846480405028695</v>
      </c>
      <c r="I169" s="17">
        <f t="shared" si="51"/>
        <v>2.0213295921766337</v>
      </c>
    </row>
    <row r="170" spans="1:9" ht="12.75">
      <c r="A170" s="13" t="s">
        <v>196</v>
      </c>
      <c r="B170" s="17">
        <f aca="true" t="shared" si="52" ref="B170:I170">B162/B159</f>
        <v>1.826447483270294</v>
      </c>
      <c r="C170" s="17">
        <f t="shared" si="52"/>
        <v>1.8282312925170068</v>
      </c>
      <c r="D170" s="17">
        <f t="shared" si="52"/>
        <v>1.855473955254536</v>
      </c>
      <c r="E170" s="17">
        <f t="shared" si="52"/>
        <v>1.9222590448426178</v>
      </c>
      <c r="F170" s="17">
        <f t="shared" si="52"/>
        <v>2.2196041819145798</v>
      </c>
      <c r="G170" s="17">
        <f t="shared" si="52"/>
        <v>2.396809112664851</v>
      </c>
      <c r="H170" s="17">
        <f t="shared" si="52"/>
        <v>2.9305594810441655</v>
      </c>
      <c r="I170" s="17">
        <f t="shared" si="52"/>
        <v>3.75518084679826</v>
      </c>
    </row>
    <row r="171" spans="1:9" ht="12.75">
      <c r="A171" s="13" t="s">
        <v>125</v>
      </c>
      <c r="B171" s="17">
        <f>B162/B153</f>
        <v>6.690338486898198</v>
      </c>
      <c r="C171" s="17">
        <f aca="true" t="shared" si="53" ref="C171:I171">C162/C153</f>
        <v>6.70916547788873</v>
      </c>
      <c r="D171" s="17">
        <f t="shared" si="53"/>
        <v>6.858110985612976</v>
      </c>
      <c r="E171" s="17">
        <f t="shared" si="53"/>
        <v>7.238956842356012</v>
      </c>
      <c r="F171" s="17">
        <f t="shared" si="53"/>
        <v>8.330589849108367</v>
      </c>
      <c r="G171" s="17">
        <f t="shared" si="53"/>
        <v>8.589768447912784</v>
      </c>
      <c r="H171" s="17">
        <f t="shared" si="53"/>
        <v>9.490441977435124</v>
      </c>
      <c r="I171" s="17">
        <f t="shared" si="53"/>
        <v>10.170768134953848</v>
      </c>
    </row>
    <row r="172" spans="1:11" ht="13.5">
      <c r="A172" s="16"/>
      <c r="B172" s="17"/>
      <c r="C172" s="17"/>
      <c r="D172" s="17"/>
      <c r="E172" s="17"/>
      <c r="F172" s="17"/>
      <c r="G172" s="17"/>
      <c r="H172" s="17"/>
      <c r="I172" s="17"/>
      <c r="K172" s="27" t="s">
        <v>287</v>
      </c>
    </row>
    <row r="173" spans="1:16" ht="12.75">
      <c r="A173" s="21" t="s">
        <v>10</v>
      </c>
      <c r="B173" s="13" t="s">
        <v>62</v>
      </c>
      <c r="C173" s="13" t="s">
        <v>63</v>
      </c>
      <c r="D173" s="13" t="s">
        <v>64</v>
      </c>
      <c r="E173" s="13" t="s">
        <v>65</v>
      </c>
      <c r="F173" s="13" t="s">
        <v>66</v>
      </c>
      <c r="G173" s="13" t="s">
        <v>67</v>
      </c>
      <c r="H173" s="13" t="s">
        <v>68</v>
      </c>
      <c r="I173" s="13" t="s">
        <v>56</v>
      </c>
      <c r="J173" s="13" t="s">
        <v>376</v>
      </c>
      <c r="K173" s="13" t="s">
        <v>64</v>
      </c>
      <c r="L173" s="13" t="s">
        <v>65</v>
      </c>
      <c r="M173" s="13" t="s">
        <v>66</v>
      </c>
      <c r="N173" s="13" t="s">
        <v>67</v>
      </c>
      <c r="O173" s="13" t="s">
        <v>55</v>
      </c>
      <c r="P173" s="13" t="s">
        <v>434</v>
      </c>
    </row>
    <row r="174" spans="1:16" ht="12.75">
      <c r="A174" s="13">
        <v>1807</v>
      </c>
      <c r="B174" s="11">
        <v>25</v>
      </c>
      <c r="C174" s="11">
        <v>2051</v>
      </c>
      <c r="D174" s="11">
        <f>(10*D153-5*E153)/5</f>
        <v>11461</v>
      </c>
      <c r="E174" s="11">
        <f>(5*E153-F153)/4</f>
        <v>48702.5</v>
      </c>
      <c r="F174" s="11">
        <f aca="true" t="shared" si="54" ref="F174:F183">(2*F153-G153)/1</f>
        <v>138557</v>
      </c>
      <c r="G174" s="11">
        <f aca="true" t="shared" si="55" ref="G174:G183">(5*G153-H153)/4</f>
        <v>292402.25</v>
      </c>
      <c r="H174" s="11">
        <v>617454</v>
      </c>
      <c r="I174" s="11">
        <f aca="true" t="shared" si="56" ref="I174:I183">I153</f>
        <v>3015668</v>
      </c>
      <c r="J174" s="4">
        <f>(80*B174+10*C174)/90</f>
        <v>250.11111111111111</v>
      </c>
      <c r="K174" s="61">
        <f aca="true" t="shared" si="57" ref="K174:N180">(D195-D174)/(D195-C195)</f>
        <v>0.6175712259894289</v>
      </c>
      <c r="L174" s="61">
        <f t="shared" si="57"/>
        <v>0.678377498459356</v>
      </c>
      <c r="M174" s="61">
        <f t="shared" si="57"/>
        <v>0.528192843240006</v>
      </c>
      <c r="N174" s="61">
        <f t="shared" si="57"/>
        <v>0.613587330245958</v>
      </c>
      <c r="O174" s="61">
        <f aca="true" t="shared" si="58" ref="O174:O180">H153/G195</f>
        <v>2.116094833110037</v>
      </c>
      <c r="P174" s="10">
        <f>(80*B174+10*C174+5*D174)/95</f>
        <v>840.1578947368421</v>
      </c>
    </row>
    <row r="175" spans="1:16" ht="12.75">
      <c r="A175" s="13">
        <v>1817</v>
      </c>
      <c r="B175" s="11">
        <v>6</v>
      </c>
      <c r="C175" s="11">
        <f>(20*C154-10*D154)/10</f>
        <v>1044</v>
      </c>
      <c r="D175" s="11">
        <f>(10*D154-5*E154)/5</f>
        <v>8475</v>
      </c>
      <c r="E175" s="11">
        <f>(5*E154-F154)/4</f>
        <v>43010.25</v>
      </c>
      <c r="F175" s="11">
        <f t="shared" si="54"/>
        <v>145759</v>
      </c>
      <c r="G175" s="11">
        <f t="shared" si="55"/>
        <v>316581.5</v>
      </c>
      <c r="H175" s="11">
        <f aca="true" t="shared" si="59" ref="H175:H183">(10*H154-I154)/9</f>
        <v>867689</v>
      </c>
      <c r="I175" s="11">
        <f t="shared" si="56"/>
        <v>1729989</v>
      </c>
      <c r="J175" s="4">
        <f aca="true" t="shared" si="60" ref="J175:J183">(80*B175+10*C175)/90</f>
        <v>121.33333333333333</v>
      </c>
      <c r="K175" s="61">
        <f t="shared" si="57"/>
        <v>0.6031233576094301</v>
      </c>
      <c r="L175" s="61">
        <f t="shared" si="57"/>
        <v>0.719757531537819</v>
      </c>
      <c r="M175" s="61">
        <f t="shared" si="57"/>
        <v>0.5817616130432686</v>
      </c>
      <c r="N175" s="61">
        <f t="shared" si="57"/>
        <v>0.665328404378179</v>
      </c>
      <c r="O175" s="61">
        <f t="shared" si="58"/>
        <v>1.702599808664363</v>
      </c>
      <c r="P175" s="10">
        <f aca="true" t="shared" si="61" ref="P175:P183">(80*B175+10*C175+5*D175)/95</f>
        <v>561</v>
      </c>
    </row>
    <row r="176" spans="1:16" ht="12.75">
      <c r="A176" s="13">
        <v>1827</v>
      </c>
      <c r="B176" s="11">
        <v>11.53</v>
      </c>
      <c r="C176" s="11">
        <v>2105</v>
      </c>
      <c r="D176" s="11">
        <f>(10*D155-5*E155)/5</f>
        <v>15762</v>
      </c>
      <c r="E176" s="11">
        <f>(5*E155-F155)/4</f>
        <v>83961.25</v>
      </c>
      <c r="F176" s="11">
        <f t="shared" si="54"/>
        <v>258642</v>
      </c>
      <c r="G176" s="11">
        <f t="shared" si="55"/>
        <v>486077.25</v>
      </c>
      <c r="H176" s="11">
        <f t="shared" si="59"/>
        <v>1333054.5555555555</v>
      </c>
      <c r="I176" s="11">
        <f t="shared" si="56"/>
        <v>3466819</v>
      </c>
      <c r="J176" s="4">
        <f t="shared" si="60"/>
        <v>244.13777777777779</v>
      </c>
      <c r="K176" s="61">
        <f t="shared" si="57"/>
        <v>0.6455091287832373</v>
      </c>
      <c r="L176" s="61">
        <f t="shared" si="57"/>
        <v>0.688927116852892</v>
      </c>
      <c r="M176" s="61">
        <f t="shared" si="57"/>
        <v>0.5351038528618994</v>
      </c>
      <c r="N176" s="61">
        <f t="shared" si="57"/>
        <v>0.684201822870389</v>
      </c>
      <c r="O176" s="61">
        <f t="shared" si="58"/>
        <v>1.8573650542761537</v>
      </c>
      <c r="P176" s="10">
        <f t="shared" si="61"/>
        <v>1060.8673684210526</v>
      </c>
    </row>
    <row r="177" spans="1:16" ht="12.75">
      <c r="A177" s="13">
        <v>1837</v>
      </c>
      <c r="B177" s="11">
        <v>16</v>
      </c>
      <c r="C177" s="11">
        <v>2057</v>
      </c>
      <c r="D177" s="11">
        <v>17166</v>
      </c>
      <c r="E177" s="11">
        <f>(5*E156-F156)/4</f>
        <v>94247.5</v>
      </c>
      <c r="F177" s="11">
        <f t="shared" si="54"/>
        <v>272017</v>
      </c>
      <c r="G177" s="11">
        <f t="shared" si="55"/>
        <v>516986</v>
      </c>
      <c r="H177" s="11">
        <f t="shared" si="59"/>
        <v>1296169.888888889</v>
      </c>
      <c r="I177" s="11">
        <f t="shared" si="56"/>
        <v>2674681</v>
      </c>
      <c r="J177" s="4">
        <f t="shared" si="60"/>
        <v>242.77777777777777</v>
      </c>
      <c r="K177" s="61">
        <f t="shared" si="57"/>
        <v>0.6288303536796079</v>
      </c>
      <c r="L177" s="61">
        <f t="shared" si="57"/>
        <v>0.6849506277218562</v>
      </c>
      <c r="M177" s="61">
        <f t="shared" si="57"/>
        <v>0.5715448435202688</v>
      </c>
      <c r="N177" s="61">
        <f t="shared" si="57"/>
        <v>0.6869389149102264</v>
      </c>
      <c r="O177" s="61">
        <f t="shared" si="58"/>
        <v>1.5737512236449915</v>
      </c>
      <c r="P177" s="10">
        <f t="shared" si="61"/>
        <v>1133.4736842105262</v>
      </c>
    </row>
    <row r="178" spans="1:16" ht="12.75">
      <c r="A178" s="13">
        <v>1847</v>
      </c>
      <c r="B178" s="11">
        <v>9.86</v>
      </c>
      <c r="C178" s="11">
        <f>(20*C157-10*D157)/10</f>
        <v>2144</v>
      </c>
      <c r="D178" s="11">
        <v>19559</v>
      </c>
      <c r="E178" s="11">
        <v>113353</v>
      </c>
      <c r="F178" s="11">
        <f t="shared" si="54"/>
        <v>364012</v>
      </c>
      <c r="G178" s="11">
        <f t="shared" si="55"/>
        <v>664845.5</v>
      </c>
      <c r="H178" s="11">
        <f t="shared" si="59"/>
        <v>2031847.6666666667</v>
      </c>
      <c r="I178" s="11">
        <f t="shared" si="56"/>
        <v>9451051</v>
      </c>
      <c r="J178" s="4">
        <f t="shared" si="60"/>
        <v>246.98666666666665</v>
      </c>
      <c r="K178" s="61">
        <f t="shared" si="57"/>
        <v>0.647579832928491</v>
      </c>
      <c r="L178" s="61">
        <f t="shared" si="57"/>
        <v>0.7132749782762936</v>
      </c>
      <c r="M178" s="61">
        <f t="shared" si="57"/>
        <v>0.5491556963776043</v>
      </c>
      <c r="N178" s="61">
        <f t="shared" si="57"/>
        <v>0.6346340461581906</v>
      </c>
      <c r="O178" s="61">
        <f t="shared" si="58"/>
        <v>2.6782637914603167</v>
      </c>
      <c r="P178" s="10">
        <f t="shared" si="61"/>
        <v>1263.4084210526316</v>
      </c>
    </row>
    <row r="179" spans="1:16" ht="12.75">
      <c r="A179" s="13">
        <v>1857</v>
      </c>
      <c r="B179" s="11">
        <v>54</v>
      </c>
      <c r="C179" s="11">
        <f>(20*C158-10*D158)/10</f>
        <v>4729</v>
      </c>
      <c r="D179" s="11">
        <f>(10*D158-5*E158)/5</f>
        <v>29842</v>
      </c>
      <c r="E179" s="11">
        <f>(5*E158-F158)/4</f>
        <v>153183.5</v>
      </c>
      <c r="F179" s="11">
        <f t="shared" si="54"/>
        <v>508374</v>
      </c>
      <c r="G179" s="11">
        <f t="shared" si="55"/>
        <v>930070.75</v>
      </c>
      <c r="H179" s="11">
        <f t="shared" si="59"/>
        <v>2016250.2222222222</v>
      </c>
      <c r="I179" s="11">
        <f t="shared" si="56"/>
        <v>4040818</v>
      </c>
      <c r="J179" s="4">
        <f t="shared" si="60"/>
        <v>573.4444444444445</v>
      </c>
      <c r="K179" s="61">
        <f t="shared" si="57"/>
        <v>0.6336539087771096</v>
      </c>
      <c r="L179" s="61">
        <f t="shared" si="57"/>
        <v>0.7101988365292868</v>
      </c>
      <c r="M179" s="61">
        <f t="shared" si="57"/>
        <v>0.5179863359618274</v>
      </c>
      <c r="N179" s="61">
        <f t="shared" si="57"/>
        <v>0.6511385815343349</v>
      </c>
      <c r="O179" s="61">
        <f t="shared" si="58"/>
        <v>1.511865864320228</v>
      </c>
      <c r="P179" s="10">
        <f t="shared" si="61"/>
        <v>2113.8947368421054</v>
      </c>
    </row>
    <row r="180" spans="1:16" ht="12.75">
      <c r="A180" s="13">
        <v>1867</v>
      </c>
      <c r="B180" s="11">
        <v>50</v>
      </c>
      <c r="C180" s="11">
        <v>6148</v>
      </c>
      <c r="D180" s="11">
        <f>(10*D159-5*E159)/5</f>
        <v>35631</v>
      </c>
      <c r="E180" s="11">
        <f>(5*E159-F159)/4</f>
        <v>184319</v>
      </c>
      <c r="F180" s="11">
        <f t="shared" si="54"/>
        <v>594097</v>
      </c>
      <c r="G180" s="11">
        <f t="shared" si="55"/>
        <v>1135751.5</v>
      </c>
      <c r="H180" s="11">
        <f t="shared" si="59"/>
        <v>2752462.777777778</v>
      </c>
      <c r="I180" s="11">
        <f t="shared" si="56"/>
        <v>8167825</v>
      </c>
      <c r="J180" s="4">
        <f t="shared" si="60"/>
        <v>727.5555555555555</v>
      </c>
      <c r="K180" s="61">
        <f t="shared" si="57"/>
        <v>0.6451122456640889</v>
      </c>
      <c r="L180" s="61">
        <f t="shared" si="57"/>
        <v>0.7198063725490196</v>
      </c>
      <c r="M180" s="61">
        <f t="shared" si="57"/>
        <v>0.6011769191924397</v>
      </c>
      <c r="N180" s="61">
        <f t="shared" si="57"/>
        <v>0.6443378171133795</v>
      </c>
      <c r="O180" s="61">
        <f t="shared" si="58"/>
        <v>1.8299994444444445</v>
      </c>
      <c r="P180" s="10">
        <f t="shared" si="61"/>
        <v>2564.5789473684213</v>
      </c>
    </row>
    <row r="181" spans="1:16" ht="12.75">
      <c r="A181" s="13">
        <v>1877</v>
      </c>
      <c r="B181" s="11">
        <v>73</v>
      </c>
      <c r="C181" s="11">
        <v>8300</v>
      </c>
      <c r="D181" s="11">
        <f>(10*D160-5*E160)/5</f>
        <v>44435</v>
      </c>
      <c r="E181" s="11">
        <f>(5*E160-F160)/4</f>
        <v>216592.5</v>
      </c>
      <c r="F181" s="11">
        <f t="shared" si="54"/>
        <v>716518</v>
      </c>
      <c r="G181" s="11">
        <f t="shared" si="55"/>
        <v>1571681</v>
      </c>
      <c r="H181" s="11">
        <f t="shared" si="59"/>
        <v>4411317.777777778</v>
      </c>
      <c r="I181" s="11">
        <f t="shared" si="56"/>
        <v>30940500</v>
      </c>
      <c r="J181" s="4">
        <f>(80*B181+10*C181)/90</f>
        <v>987.1111111111111</v>
      </c>
      <c r="K181" s="61">
        <f aca="true" t="shared" si="62" ref="K181:N182">(D204-D181)/(D204-C204)</f>
        <v>0.6169752008382815</v>
      </c>
      <c r="L181" s="61">
        <f t="shared" si="62"/>
        <v>0.8119887426060926</v>
      </c>
      <c r="M181" s="61">
        <f t="shared" si="62"/>
        <v>1.0728459576789702</v>
      </c>
      <c r="N181" s="61">
        <f t="shared" si="62"/>
        <v>0.968608567443583</v>
      </c>
      <c r="O181" s="61">
        <f>H160/G204</f>
        <v>1.7971524328163724</v>
      </c>
      <c r="P181" s="10">
        <f t="shared" si="61"/>
        <v>3273.842105263158</v>
      </c>
    </row>
    <row r="182" spans="1:16" ht="12.75">
      <c r="A182" s="13">
        <v>1887</v>
      </c>
      <c r="B182" s="11">
        <v>67</v>
      </c>
      <c r="C182" s="11">
        <v>8651</v>
      </c>
      <c r="D182" s="11">
        <f>(10*D161-5*E161)/5</f>
        <v>51607</v>
      </c>
      <c r="E182" s="11">
        <f>(5*E161-F161)/4</f>
        <v>263190.75</v>
      </c>
      <c r="F182" s="11">
        <f t="shared" si="54"/>
        <v>858178</v>
      </c>
      <c r="G182" s="11">
        <f t="shared" si="55"/>
        <v>1716470.25</v>
      </c>
      <c r="H182" s="11">
        <f t="shared" si="59"/>
        <v>4827516.666666667</v>
      </c>
      <c r="I182" s="11">
        <f t="shared" si="56"/>
        <v>19957840</v>
      </c>
      <c r="J182" s="4">
        <f>(80*B182+10*C182)/90</f>
        <v>1020.7777777777778</v>
      </c>
      <c r="K182" s="61" t="e">
        <f t="shared" si="62"/>
        <v>#DIV/0!</v>
      </c>
      <c r="L182" s="61" t="e">
        <f t="shared" si="62"/>
        <v>#DIV/0!</v>
      </c>
      <c r="M182" s="61" t="e">
        <f t="shared" si="62"/>
        <v>#DIV/0!</v>
      </c>
      <c r="N182" s="61" t="e">
        <f t="shared" si="62"/>
        <v>#DIV/0!</v>
      </c>
      <c r="O182" s="61" t="e">
        <f>H161/G205</f>
        <v>#DIV/0!</v>
      </c>
      <c r="P182" s="10">
        <f t="shared" si="61"/>
        <v>3683.2105263157896</v>
      </c>
    </row>
    <row r="183" spans="1:16" ht="12.75">
      <c r="A183" s="13" t="s">
        <v>172</v>
      </c>
      <c r="B183" s="11">
        <v>45</v>
      </c>
      <c r="C183" s="11">
        <f>(20*C162-10*D162)/10</f>
        <v>5864</v>
      </c>
      <c r="D183" s="11">
        <f>(10*D162-5*E162)/5</f>
        <v>41829</v>
      </c>
      <c r="E183" s="11">
        <f>(5*E162-F162)/4</f>
        <v>273970</v>
      </c>
      <c r="F183" s="11">
        <f t="shared" si="54"/>
        <v>1040909</v>
      </c>
      <c r="G183" s="11">
        <f t="shared" si="55"/>
        <v>2282636.25</v>
      </c>
      <c r="H183" s="11">
        <f t="shared" si="59"/>
        <v>7317882.222222222</v>
      </c>
      <c r="I183" s="11">
        <f t="shared" si="56"/>
        <v>30671660</v>
      </c>
      <c r="J183" s="4">
        <f t="shared" si="60"/>
        <v>691.5555555555555</v>
      </c>
      <c r="K183" s="61">
        <f>(D204-D183)/(D204-C204)</f>
        <v>0.6533845616486204</v>
      </c>
      <c r="L183" s="61">
        <f>(E204-E183)/(E204-D204)</f>
        <v>0.7277088471306424</v>
      </c>
      <c r="M183" s="61">
        <f>(F204-F183)/(F204-E204)</f>
        <v>0.6259235939947618</v>
      </c>
      <c r="N183" s="61">
        <f>(G204-G183)/(G204-F204)</f>
        <v>0.6767033699312153</v>
      </c>
      <c r="O183" s="61">
        <f>H162/G204</f>
        <v>2.4558040945417137</v>
      </c>
      <c r="P183" s="10">
        <f t="shared" si="61"/>
        <v>2856.684210526316</v>
      </c>
    </row>
    <row r="184" spans="1:15" ht="12.75">
      <c r="A184" s="13"/>
      <c r="B184" s="11"/>
      <c r="C184" s="11"/>
      <c r="D184" s="11"/>
      <c r="E184" s="11"/>
      <c r="F184" s="11"/>
      <c r="G184" s="11"/>
      <c r="H184" s="11"/>
      <c r="I184" s="11"/>
      <c r="K184" s="61" t="e">
        <f>AVERAGE(K174:K183)</f>
        <v>#DIV/0!</v>
      </c>
      <c r="L184" s="61" t="e">
        <f>AVERAGE(L174:L183)</f>
        <v>#DIV/0!</v>
      </c>
      <c r="M184" s="61" t="e">
        <f>AVERAGE(M174:M183)</f>
        <v>#DIV/0!</v>
      </c>
      <c r="N184" s="61" t="e">
        <f>AVERAGE(N174:N183)</f>
        <v>#DIV/0!</v>
      </c>
      <c r="O184" s="61" t="e">
        <f>AVERAGE(O174:O183)</f>
        <v>#DIV/0!</v>
      </c>
    </row>
    <row r="185" spans="1:9" ht="12.75">
      <c r="A185" s="13" t="s">
        <v>117</v>
      </c>
      <c r="B185" s="17">
        <f>B175/B174</f>
        <v>0.24</v>
      </c>
      <c r="C185" s="17">
        <f aca="true" t="shared" si="63" ref="C185:I185">C175/C174</f>
        <v>0.5090199902486592</v>
      </c>
      <c r="D185" s="17">
        <f t="shared" si="63"/>
        <v>0.7394642701334962</v>
      </c>
      <c r="E185" s="17">
        <f t="shared" si="63"/>
        <v>0.8831220163235973</v>
      </c>
      <c r="F185" s="17">
        <f t="shared" si="63"/>
        <v>1.0519786080818725</v>
      </c>
      <c r="G185" s="17">
        <f t="shared" si="63"/>
        <v>1.0826917371531855</v>
      </c>
      <c r="H185" s="17">
        <f t="shared" si="63"/>
        <v>1.4052690564803207</v>
      </c>
      <c r="I185" s="17">
        <f t="shared" si="63"/>
        <v>0.5736669288529108</v>
      </c>
    </row>
    <row r="186" spans="1:9" ht="12.75">
      <c r="A186" s="13" t="s">
        <v>118</v>
      </c>
      <c r="B186" s="17">
        <f aca="true" t="shared" si="64" ref="B186:I186">B176/B175</f>
        <v>1.9216666666666666</v>
      </c>
      <c r="C186" s="17">
        <f t="shared" si="64"/>
        <v>2.0162835249042144</v>
      </c>
      <c r="D186" s="17">
        <f t="shared" si="64"/>
        <v>1.8598230088495575</v>
      </c>
      <c r="E186" s="17">
        <f t="shared" si="64"/>
        <v>1.9521218779244482</v>
      </c>
      <c r="F186" s="17">
        <f t="shared" si="64"/>
        <v>1.7744496051701781</v>
      </c>
      <c r="G186" s="17">
        <f t="shared" si="64"/>
        <v>1.5353937295767441</v>
      </c>
      <c r="H186" s="17">
        <f t="shared" si="64"/>
        <v>1.5363275961266716</v>
      </c>
      <c r="I186" s="17">
        <f t="shared" si="64"/>
        <v>2.0039543604034478</v>
      </c>
    </row>
    <row r="187" spans="1:9" ht="12.75">
      <c r="A187" s="13" t="s">
        <v>120</v>
      </c>
      <c r="B187" s="17">
        <f aca="true" t="shared" si="65" ref="B187:I187">B177/B176</f>
        <v>1.3876843018213356</v>
      </c>
      <c r="C187" s="17">
        <f t="shared" si="65"/>
        <v>0.9771971496437054</v>
      </c>
      <c r="D187" s="17">
        <f t="shared" si="65"/>
        <v>1.0890749904834411</v>
      </c>
      <c r="E187" s="17">
        <f t="shared" si="65"/>
        <v>1.1225118730366688</v>
      </c>
      <c r="F187" s="17">
        <f t="shared" si="65"/>
        <v>1.0517124055644482</v>
      </c>
      <c r="G187" s="17">
        <f t="shared" si="65"/>
        <v>1.0635881436541208</v>
      </c>
      <c r="H187" s="17">
        <f t="shared" si="65"/>
        <v>0.9723307148136224</v>
      </c>
      <c r="I187" s="17">
        <f t="shared" si="65"/>
        <v>0.7715086942814148</v>
      </c>
    </row>
    <row r="188" spans="1:9" ht="12.75">
      <c r="A188" s="13" t="s">
        <v>195</v>
      </c>
      <c r="B188" s="17">
        <f aca="true" t="shared" si="66" ref="B188:I188">B178/B177</f>
        <v>0.61625</v>
      </c>
      <c r="C188" s="17">
        <f t="shared" si="66"/>
        <v>1.04229460379193</v>
      </c>
      <c r="D188" s="17">
        <f t="shared" si="66"/>
        <v>1.1394034719794943</v>
      </c>
      <c r="E188" s="17">
        <f t="shared" si="66"/>
        <v>1.2027162524204886</v>
      </c>
      <c r="F188" s="17">
        <f t="shared" si="66"/>
        <v>1.3381957745287978</v>
      </c>
      <c r="G188" s="17">
        <f t="shared" si="66"/>
        <v>1.2860029091696874</v>
      </c>
      <c r="H188" s="17">
        <f t="shared" si="66"/>
        <v>1.5675782041260193</v>
      </c>
      <c r="I188" s="17">
        <f t="shared" si="66"/>
        <v>3.5335245586296087</v>
      </c>
    </row>
    <row r="189" spans="1:9" ht="12.75">
      <c r="A189" s="13" t="s">
        <v>222</v>
      </c>
      <c r="B189" s="17">
        <f aca="true" t="shared" si="67" ref="B189:I190">B179/B178</f>
        <v>5.476673427991887</v>
      </c>
      <c r="C189" s="17">
        <f t="shared" si="67"/>
        <v>2.205690298507463</v>
      </c>
      <c r="D189" s="17">
        <f t="shared" si="67"/>
        <v>1.5257426248785726</v>
      </c>
      <c r="E189" s="17">
        <f t="shared" si="67"/>
        <v>1.3513846126701543</v>
      </c>
      <c r="F189" s="17">
        <f t="shared" si="67"/>
        <v>1.3965858268408733</v>
      </c>
      <c r="G189" s="17">
        <f t="shared" si="67"/>
        <v>1.3989276455958566</v>
      </c>
      <c r="H189" s="17">
        <f t="shared" si="67"/>
        <v>0.9923235168165767</v>
      </c>
      <c r="I189" s="17">
        <f t="shared" si="67"/>
        <v>0.4275522373120196</v>
      </c>
    </row>
    <row r="190" spans="1:9" ht="12.75">
      <c r="A190" s="13" t="s">
        <v>223</v>
      </c>
      <c r="B190" s="17">
        <f t="shared" si="67"/>
        <v>0.9259259259259259</v>
      </c>
      <c r="C190" s="17">
        <f t="shared" si="67"/>
        <v>1.300063438359061</v>
      </c>
      <c r="D190" s="17">
        <f t="shared" si="67"/>
        <v>1.1939883385832049</v>
      </c>
      <c r="E190" s="17">
        <f t="shared" si="67"/>
        <v>1.203256225376754</v>
      </c>
      <c r="F190" s="17">
        <f t="shared" si="67"/>
        <v>1.168621920082459</v>
      </c>
      <c r="G190" s="17">
        <f t="shared" si="67"/>
        <v>1.2211452730880956</v>
      </c>
      <c r="H190" s="17">
        <f t="shared" si="67"/>
        <v>1.3651394789403344</v>
      </c>
      <c r="I190" s="17">
        <f t="shared" si="67"/>
        <v>2.0213295921766337</v>
      </c>
    </row>
    <row r="191" spans="1:9" ht="12.75">
      <c r="A191" s="13" t="s">
        <v>196</v>
      </c>
      <c r="B191" s="17">
        <f aca="true" t="shared" si="68" ref="B191:I191">B183/B180</f>
        <v>0.9</v>
      </c>
      <c r="C191" s="17">
        <f t="shared" si="68"/>
        <v>0.9538061158100195</v>
      </c>
      <c r="D191" s="17">
        <f t="shared" si="68"/>
        <v>1.1739496505851645</v>
      </c>
      <c r="E191" s="17">
        <f t="shared" si="68"/>
        <v>1.4863904426564813</v>
      </c>
      <c r="F191" s="17">
        <f t="shared" si="68"/>
        <v>1.752085938828171</v>
      </c>
      <c r="G191" s="17">
        <f t="shared" si="68"/>
        <v>2.00980254043248</v>
      </c>
      <c r="H191" s="17">
        <f t="shared" si="68"/>
        <v>2.658667096719241</v>
      </c>
      <c r="I191" s="17">
        <f t="shared" si="68"/>
        <v>3.75518084679826</v>
      </c>
    </row>
    <row r="192" spans="1:9" ht="12.75">
      <c r="A192" s="13" t="s">
        <v>125</v>
      </c>
      <c r="B192" s="17">
        <f>B183/B174</f>
        <v>1.8</v>
      </c>
      <c r="C192" s="17">
        <f aca="true" t="shared" si="69" ref="C192:I192">C183/C174</f>
        <v>2.8590931253047294</v>
      </c>
      <c r="D192" s="17">
        <f t="shared" si="69"/>
        <v>3.6496815286624202</v>
      </c>
      <c r="E192" s="17">
        <f t="shared" si="69"/>
        <v>5.6253785739951745</v>
      </c>
      <c r="F192" s="17">
        <f t="shared" si="69"/>
        <v>7.512496662023572</v>
      </c>
      <c r="G192" s="17">
        <f t="shared" si="69"/>
        <v>7.806493452085269</v>
      </c>
      <c r="H192" s="17">
        <f t="shared" si="69"/>
        <v>11.851704292501502</v>
      </c>
      <c r="I192" s="17">
        <f t="shared" si="69"/>
        <v>10.170768134953848</v>
      </c>
    </row>
    <row r="193" ht="12.75">
      <c r="A193" s="13"/>
    </row>
    <row r="194" spans="1:8" ht="12.75">
      <c r="A194" s="21" t="s">
        <v>84</v>
      </c>
      <c r="B194" s="13" t="s">
        <v>49</v>
      </c>
      <c r="C194" s="13" t="s">
        <v>11</v>
      </c>
      <c r="D194" s="13" t="s">
        <v>12</v>
      </c>
      <c r="E194" s="13" t="s">
        <v>13</v>
      </c>
      <c r="F194" s="13" t="s">
        <v>14</v>
      </c>
      <c r="G194" s="13" t="s">
        <v>15</v>
      </c>
      <c r="H194" s="13" t="s">
        <v>16</v>
      </c>
    </row>
    <row r="195" spans="1:8" ht="12.75">
      <c r="A195" s="13">
        <v>1807</v>
      </c>
      <c r="B195" s="11">
        <v>490</v>
      </c>
      <c r="C195" s="11">
        <v>5528</v>
      </c>
      <c r="D195" s="11">
        <v>21042</v>
      </c>
      <c r="E195" s="11">
        <v>107045</v>
      </c>
      <c r="F195" s="11">
        <v>173835</v>
      </c>
      <c r="G195" s="11">
        <v>480676</v>
      </c>
      <c r="H195" s="11">
        <v>1537092</v>
      </c>
    </row>
    <row r="196" spans="1:8" ht="12.75">
      <c r="A196" s="13">
        <v>1817</v>
      </c>
      <c r="B196" s="11">
        <v>174</v>
      </c>
      <c r="C196" s="11">
        <v>3189</v>
      </c>
      <c r="D196" s="11">
        <v>16508</v>
      </c>
      <c r="E196" s="11">
        <v>111077</v>
      </c>
      <c r="F196" s="11">
        <v>194001</v>
      </c>
      <c r="G196" s="11">
        <v>560272</v>
      </c>
      <c r="H196" s="11">
        <v>1673222</v>
      </c>
    </row>
    <row r="197" spans="1:8" ht="12.75">
      <c r="A197" s="13">
        <v>1827</v>
      </c>
      <c r="B197" s="11">
        <v>307</v>
      </c>
      <c r="C197" s="11">
        <v>7083</v>
      </c>
      <c r="D197" s="11">
        <v>31566</v>
      </c>
      <c r="E197" s="11">
        <v>200000</v>
      </c>
      <c r="F197" s="11">
        <v>326140</v>
      </c>
      <c r="G197" s="11">
        <v>832594</v>
      </c>
      <c r="H197" s="11">
        <v>2800737</v>
      </c>
    </row>
    <row r="198" spans="1:8" ht="12.75">
      <c r="A198" s="13">
        <v>1837</v>
      </c>
      <c r="B198" s="11">
        <v>353</v>
      </c>
      <c r="C198" s="11">
        <v>6640</v>
      </c>
      <c r="D198" s="11">
        <v>34999</v>
      </c>
      <c r="E198" s="11">
        <v>223060</v>
      </c>
      <c r="F198" s="11">
        <v>337324</v>
      </c>
      <c r="G198" s="11">
        <v>911212</v>
      </c>
      <c r="H198" s="11">
        <v>2050398</v>
      </c>
    </row>
    <row r="199" spans="1:8" ht="12.75">
      <c r="A199" s="13">
        <v>1847</v>
      </c>
      <c r="B199" s="11">
        <v>296</v>
      </c>
      <c r="C199" s="11">
        <v>7662</v>
      </c>
      <c r="D199" s="11">
        <v>41420</v>
      </c>
      <c r="E199" s="11">
        <v>292298</v>
      </c>
      <c r="F199" s="11">
        <v>451364</v>
      </c>
      <c r="G199" s="11">
        <v>1035659</v>
      </c>
      <c r="H199" s="11">
        <v>7036204</v>
      </c>
    </row>
    <row r="200" spans="1:8" ht="12.75">
      <c r="A200" s="13">
        <v>1857</v>
      </c>
      <c r="B200" s="11">
        <v>1136</v>
      </c>
      <c r="C200" s="11">
        <v>12967</v>
      </c>
      <c r="D200" s="11">
        <v>59030</v>
      </c>
      <c r="E200" s="11">
        <v>383920</v>
      </c>
      <c r="F200" s="11">
        <v>642116</v>
      </c>
      <c r="G200" s="11">
        <v>1467529</v>
      </c>
      <c r="H200" s="11">
        <v>3518833</v>
      </c>
    </row>
    <row r="201" spans="1:8" ht="12.75">
      <c r="A201" s="13">
        <v>1867</v>
      </c>
      <c r="B201" s="11">
        <v>1300</v>
      </c>
      <c r="C201" s="11">
        <v>16724</v>
      </c>
      <c r="D201" s="11">
        <v>70000</v>
      </c>
      <c r="E201" s="11">
        <v>478000</v>
      </c>
      <c r="F201" s="11">
        <v>769099</v>
      </c>
      <c r="G201" s="11">
        <v>1800000</v>
      </c>
      <c r="H201" s="11">
        <v>5921960</v>
      </c>
    </row>
    <row r="202" spans="1:8" ht="12.75">
      <c r="A202" s="13">
        <v>1877</v>
      </c>
      <c r="B202" s="11">
        <v>1960</v>
      </c>
      <c r="C202" s="11">
        <v>21775</v>
      </c>
      <c r="D202" s="11">
        <v>86453</v>
      </c>
      <c r="E202" s="11">
        <v>567179</v>
      </c>
      <c r="F202" s="11">
        <v>943135</v>
      </c>
      <c r="G202" s="11">
        <v>2662118</v>
      </c>
      <c r="H202" s="11">
        <v>10790010</v>
      </c>
    </row>
    <row r="203" spans="1:8" ht="12.75">
      <c r="A203" s="13">
        <v>1887</v>
      </c>
      <c r="B203" s="11">
        <v>1800</v>
      </c>
      <c r="C203" s="11">
        <v>24176</v>
      </c>
      <c r="D203" s="11">
        <v>102891</v>
      </c>
      <c r="E203" s="11">
        <v>676036</v>
      </c>
      <c r="F203" s="11">
        <v>1101659</v>
      </c>
      <c r="G203" s="11">
        <v>2983062</v>
      </c>
      <c r="H203" s="11">
        <v>8876016</v>
      </c>
    </row>
    <row r="204" spans="1:8" ht="12.75">
      <c r="A204" s="13" t="s">
        <v>172</v>
      </c>
      <c r="B204" s="11">
        <v>1236</v>
      </c>
      <c r="C204" s="11">
        <v>17020</v>
      </c>
      <c r="D204" s="11">
        <v>88595</v>
      </c>
      <c r="E204" s="11">
        <v>769392</v>
      </c>
      <c r="F204" s="11">
        <v>1495225</v>
      </c>
      <c r="G204" s="11">
        <v>3930794</v>
      </c>
      <c r="H204" s="11">
        <v>20840660</v>
      </c>
    </row>
    <row r="205" spans="1:8" ht="12.75">
      <c r="A205" s="13"/>
      <c r="B205" s="11"/>
      <c r="C205" s="11"/>
      <c r="D205" s="11"/>
      <c r="E205" s="11"/>
      <c r="F205" s="11"/>
      <c r="G205" s="11"/>
      <c r="H205" s="11"/>
    </row>
    <row r="206" spans="1:9" ht="12.75">
      <c r="A206" s="13" t="s">
        <v>117</v>
      </c>
      <c r="B206" s="17">
        <f>B196/B195</f>
        <v>0.3551020408163265</v>
      </c>
      <c r="C206" s="17">
        <f aca="true" t="shared" si="70" ref="C206:H206">C196/C195</f>
        <v>0.5768813314037626</v>
      </c>
      <c r="D206" s="17">
        <f t="shared" si="70"/>
        <v>0.7845261857237905</v>
      </c>
      <c r="E206" s="17">
        <f t="shared" si="70"/>
        <v>1.0376664019804756</v>
      </c>
      <c r="F206" s="17">
        <f t="shared" si="70"/>
        <v>1.1160065579428768</v>
      </c>
      <c r="G206" s="17">
        <f t="shared" si="70"/>
        <v>1.1655917915602194</v>
      </c>
      <c r="H206" s="17">
        <f t="shared" si="70"/>
        <v>1.088563339084453</v>
      </c>
      <c r="I206" s="17"/>
    </row>
    <row r="207" spans="1:9" ht="12.75">
      <c r="A207" s="13" t="s">
        <v>118</v>
      </c>
      <c r="B207" s="17">
        <f aca="true" t="shared" si="71" ref="B207:H207">B197/B196</f>
        <v>1.764367816091954</v>
      </c>
      <c r="C207" s="17">
        <f t="shared" si="71"/>
        <v>2.2210724365004704</v>
      </c>
      <c r="D207" s="17">
        <f t="shared" si="71"/>
        <v>1.9121637993700025</v>
      </c>
      <c r="E207" s="17">
        <f t="shared" si="71"/>
        <v>1.800552769700298</v>
      </c>
      <c r="F207" s="17">
        <f t="shared" si="71"/>
        <v>1.6811253550239431</v>
      </c>
      <c r="G207" s="17">
        <f t="shared" si="71"/>
        <v>1.4860532027301026</v>
      </c>
      <c r="H207" s="17">
        <f t="shared" si="71"/>
        <v>1.6738585794353649</v>
      </c>
      <c r="I207" s="17"/>
    </row>
    <row r="208" spans="1:9" ht="12.75">
      <c r="A208" s="13" t="s">
        <v>120</v>
      </c>
      <c r="B208" s="17">
        <f aca="true" t="shared" si="72" ref="B208:H208">B198/B197</f>
        <v>1.1498371335504887</v>
      </c>
      <c r="C208" s="17">
        <f t="shared" si="72"/>
        <v>0.9374558802767189</v>
      </c>
      <c r="D208" s="17">
        <f t="shared" si="72"/>
        <v>1.1087562567319267</v>
      </c>
      <c r="E208" s="17">
        <f t="shared" si="72"/>
        <v>1.1153</v>
      </c>
      <c r="F208" s="17">
        <f t="shared" si="72"/>
        <v>1.0342920218311156</v>
      </c>
      <c r="G208" s="17">
        <f t="shared" si="72"/>
        <v>1.0944253741919832</v>
      </c>
      <c r="H208" s="17">
        <f t="shared" si="72"/>
        <v>0.7320923028474291</v>
      </c>
      <c r="I208" s="17"/>
    </row>
    <row r="209" spans="1:9" ht="12.75">
      <c r="A209" s="13" t="s">
        <v>195</v>
      </c>
      <c r="B209" s="17">
        <f aca="true" t="shared" si="73" ref="B209:H209">B199/B198</f>
        <v>0.8385269121813032</v>
      </c>
      <c r="C209" s="17">
        <f t="shared" si="73"/>
        <v>1.1539156626506024</v>
      </c>
      <c r="D209" s="17">
        <f t="shared" si="73"/>
        <v>1.183462384639561</v>
      </c>
      <c r="E209" s="17">
        <f t="shared" si="73"/>
        <v>1.3104007890253744</v>
      </c>
      <c r="F209" s="17">
        <f t="shared" si="73"/>
        <v>1.3380725948939298</v>
      </c>
      <c r="G209" s="17">
        <f t="shared" si="73"/>
        <v>1.1365730477649547</v>
      </c>
      <c r="H209" s="17">
        <f t="shared" si="73"/>
        <v>3.4316283960479868</v>
      </c>
      <c r="I209" s="17"/>
    </row>
    <row r="210" spans="1:9" ht="12.75">
      <c r="A210" s="13" t="s">
        <v>222</v>
      </c>
      <c r="B210" s="17">
        <f aca="true" t="shared" si="74" ref="B210:H211">B200/B199</f>
        <v>3.8378378378378377</v>
      </c>
      <c r="C210" s="17">
        <f t="shared" si="74"/>
        <v>1.6923779691986427</v>
      </c>
      <c r="D210" s="17">
        <f t="shared" si="74"/>
        <v>1.4251569290197972</v>
      </c>
      <c r="E210" s="17">
        <f t="shared" si="74"/>
        <v>1.3134540776878392</v>
      </c>
      <c r="F210" s="17">
        <f t="shared" si="74"/>
        <v>1.4226123483485613</v>
      </c>
      <c r="G210" s="17">
        <f t="shared" si="74"/>
        <v>1.4170001902170501</v>
      </c>
      <c r="H210" s="17">
        <f t="shared" si="74"/>
        <v>0.5001038912459047</v>
      </c>
      <c r="I210" s="17"/>
    </row>
    <row r="211" spans="1:9" ht="12.75">
      <c r="A211" s="13" t="s">
        <v>223</v>
      </c>
      <c r="B211" s="17">
        <f t="shared" si="74"/>
        <v>1.1443661971830985</v>
      </c>
      <c r="C211" s="17">
        <f t="shared" si="74"/>
        <v>1.2897354823783451</v>
      </c>
      <c r="D211" s="17">
        <f t="shared" si="74"/>
        <v>1.1858377096391666</v>
      </c>
      <c r="E211" s="17">
        <f t="shared" si="74"/>
        <v>1.245051052302563</v>
      </c>
      <c r="F211" s="17">
        <f t="shared" si="74"/>
        <v>1.1977571030779486</v>
      </c>
      <c r="G211" s="17">
        <f t="shared" si="74"/>
        <v>1.226551570701499</v>
      </c>
      <c r="H211" s="17">
        <f t="shared" si="74"/>
        <v>1.6829329496455216</v>
      </c>
      <c r="I211" s="17"/>
    </row>
    <row r="212" spans="1:9" ht="12.75">
      <c r="A212" s="13" t="s">
        <v>196</v>
      </c>
      <c r="B212" s="17">
        <f aca="true" t="shared" si="75" ref="B212:H212">B204/B201</f>
        <v>0.9507692307692308</v>
      </c>
      <c r="C212" s="17">
        <f t="shared" si="75"/>
        <v>1.0176991150442478</v>
      </c>
      <c r="D212" s="17">
        <f t="shared" si="75"/>
        <v>1.265642857142857</v>
      </c>
      <c r="E212" s="17">
        <f t="shared" si="75"/>
        <v>1.6096066945606695</v>
      </c>
      <c r="F212" s="17">
        <f t="shared" si="75"/>
        <v>1.9441255287030668</v>
      </c>
      <c r="G212" s="17">
        <f t="shared" si="75"/>
        <v>2.1837744444444445</v>
      </c>
      <c r="H212" s="17">
        <f t="shared" si="75"/>
        <v>3.519216610716722</v>
      </c>
      <c r="I212" s="17"/>
    </row>
    <row r="213" spans="1:9" ht="12.75">
      <c r="A213" s="13" t="s">
        <v>125</v>
      </c>
      <c r="B213" s="17">
        <f aca="true" t="shared" si="76" ref="B213:H213">B204/B195</f>
        <v>2.522448979591837</v>
      </c>
      <c r="C213" s="17">
        <f t="shared" si="76"/>
        <v>3.0788712011577424</v>
      </c>
      <c r="D213" s="17">
        <f t="shared" si="76"/>
        <v>4.21038874631689</v>
      </c>
      <c r="E213" s="17">
        <f t="shared" si="76"/>
        <v>7.187556635060021</v>
      </c>
      <c r="F213" s="17">
        <f t="shared" si="76"/>
        <v>8.601403629878908</v>
      </c>
      <c r="G213" s="17">
        <f t="shared" si="76"/>
        <v>8.177637327430535</v>
      </c>
      <c r="H213" s="17">
        <f t="shared" si="76"/>
        <v>13.558498775610047</v>
      </c>
      <c r="I213" s="17"/>
    </row>
    <row r="214" spans="1:9" ht="13.5">
      <c r="A214" s="16"/>
      <c r="B214" s="17"/>
      <c r="C214" s="17"/>
      <c r="D214" s="17"/>
      <c r="E214" s="17"/>
      <c r="F214" s="17"/>
      <c r="G214" s="17"/>
      <c r="H214" s="17"/>
      <c r="I214" s="17"/>
    </row>
    <row r="215" spans="1:9" ht="12.75">
      <c r="A215" s="21" t="s">
        <v>86</v>
      </c>
      <c r="B215" s="13" t="s">
        <v>11</v>
      </c>
      <c r="C215" s="13" t="s">
        <v>12</v>
      </c>
      <c r="D215" s="13" t="s">
        <v>13</v>
      </c>
      <c r="E215" s="13" t="s">
        <v>14</v>
      </c>
      <c r="F215" s="13" t="s">
        <v>15</v>
      </c>
      <c r="G215" s="13" t="s">
        <v>16</v>
      </c>
      <c r="H215" s="17"/>
      <c r="I215" s="17"/>
    </row>
    <row r="216" spans="1:9" ht="12.75">
      <c r="A216" s="13">
        <v>1807</v>
      </c>
      <c r="B216" s="12">
        <f aca="true" t="shared" si="77" ref="B216:G221">C195/$C195</f>
        <v>1</v>
      </c>
      <c r="C216" s="12">
        <f t="shared" si="77"/>
        <v>3.80643994211288</v>
      </c>
      <c r="D216" s="12">
        <f t="shared" si="77"/>
        <v>19.364146164978294</v>
      </c>
      <c r="E216" s="12">
        <f t="shared" si="77"/>
        <v>31.446273516642545</v>
      </c>
      <c r="F216" s="12">
        <f t="shared" si="77"/>
        <v>86.95296671490593</v>
      </c>
      <c r="G216" s="12">
        <f t="shared" si="77"/>
        <v>278.05571635311145</v>
      </c>
      <c r="H216" s="17"/>
      <c r="I216" s="17"/>
    </row>
    <row r="217" spans="1:9" ht="12.75">
      <c r="A217" s="13">
        <v>1817</v>
      </c>
      <c r="B217" s="12">
        <f t="shared" si="77"/>
        <v>1</v>
      </c>
      <c r="C217" s="12">
        <f t="shared" si="77"/>
        <v>5.176544371276262</v>
      </c>
      <c r="D217" s="12">
        <f t="shared" si="77"/>
        <v>34.83129507682659</v>
      </c>
      <c r="E217" s="12">
        <f t="shared" si="77"/>
        <v>60.83443085606773</v>
      </c>
      <c r="F217" s="12">
        <f t="shared" si="77"/>
        <v>175.68893069927876</v>
      </c>
      <c r="G217" s="12">
        <f t="shared" si="77"/>
        <v>524.6854813421135</v>
      </c>
      <c r="H217" s="17"/>
      <c r="I217" s="17"/>
    </row>
    <row r="218" spans="1:9" ht="12.75">
      <c r="A218" s="13">
        <v>1827</v>
      </c>
      <c r="B218" s="12">
        <f t="shared" si="77"/>
        <v>1</v>
      </c>
      <c r="C218" s="12">
        <f t="shared" si="77"/>
        <v>4.456586192291402</v>
      </c>
      <c r="D218" s="12">
        <f t="shared" si="77"/>
        <v>28.23662289990117</v>
      </c>
      <c r="E218" s="12">
        <f t="shared" si="77"/>
        <v>46.04546096286884</v>
      </c>
      <c r="F218" s="12">
        <f t="shared" si="77"/>
        <v>117.54821403360158</v>
      </c>
      <c r="G218" s="12">
        <f t="shared" si="77"/>
        <v>395.41677255400253</v>
      </c>
      <c r="H218" s="17"/>
      <c r="I218" s="17"/>
    </row>
    <row r="219" spans="1:9" ht="12.75">
      <c r="A219" s="13">
        <v>1837</v>
      </c>
      <c r="B219" s="12">
        <f t="shared" si="77"/>
        <v>1</v>
      </c>
      <c r="C219" s="12">
        <f t="shared" si="77"/>
        <v>5.270933734939759</v>
      </c>
      <c r="D219" s="12">
        <f t="shared" si="77"/>
        <v>33.5933734939759</v>
      </c>
      <c r="E219" s="12">
        <f t="shared" si="77"/>
        <v>50.80180722891566</v>
      </c>
      <c r="F219" s="12">
        <f t="shared" si="77"/>
        <v>137.23072289156627</v>
      </c>
      <c r="G219" s="12">
        <f t="shared" si="77"/>
        <v>308.79487951807226</v>
      </c>
      <c r="H219" s="17"/>
      <c r="I219" s="17"/>
    </row>
    <row r="220" spans="1:9" ht="12.75">
      <c r="A220" s="13">
        <v>1847</v>
      </c>
      <c r="B220" s="12">
        <f t="shared" si="77"/>
        <v>1</v>
      </c>
      <c r="C220" s="12">
        <f t="shared" si="77"/>
        <v>5.405899243017489</v>
      </c>
      <c r="D220" s="12">
        <f t="shared" si="77"/>
        <v>38.14904724614983</v>
      </c>
      <c r="E220" s="12">
        <f t="shared" si="77"/>
        <v>58.90942312712085</v>
      </c>
      <c r="F220" s="12">
        <f t="shared" si="77"/>
        <v>135.16823283737926</v>
      </c>
      <c r="G220" s="12">
        <f t="shared" si="77"/>
        <v>918.324719394414</v>
      </c>
      <c r="H220" s="17"/>
      <c r="I220" s="17"/>
    </row>
    <row r="221" spans="1:9" ht="12.75">
      <c r="A221" s="13">
        <v>1857</v>
      </c>
      <c r="B221" s="12">
        <f t="shared" si="77"/>
        <v>1</v>
      </c>
      <c r="C221" s="12">
        <f t="shared" si="77"/>
        <v>4.552325133029999</v>
      </c>
      <c r="D221" s="12">
        <f t="shared" si="77"/>
        <v>29.60746510372484</v>
      </c>
      <c r="E221" s="12">
        <f t="shared" si="77"/>
        <v>49.5192411506131</v>
      </c>
      <c r="F221" s="12">
        <f t="shared" si="77"/>
        <v>113.17413434101951</v>
      </c>
      <c r="G221" s="12">
        <f t="shared" si="77"/>
        <v>271.3683195804735</v>
      </c>
      <c r="H221" s="17"/>
      <c r="I221" s="17"/>
    </row>
    <row r="222" spans="1:9" ht="12.75">
      <c r="A222" s="13">
        <v>1867</v>
      </c>
      <c r="B222" s="12">
        <f aca="true" t="shared" si="78" ref="B222:G222">C201/$C201</f>
        <v>1</v>
      </c>
      <c r="C222" s="12">
        <f t="shared" si="78"/>
        <v>4.185601530734274</v>
      </c>
      <c r="D222" s="12">
        <f t="shared" si="78"/>
        <v>28.5816790241569</v>
      </c>
      <c r="E222" s="12">
        <f t="shared" si="78"/>
        <v>45.98774216694571</v>
      </c>
      <c r="F222" s="12">
        <f t="shared" si="78"/>
        <v>107.62975364745276</v>
      </c>
      <c r="G222" s="12">
        <f t="shared" si="78"/>
        <v>354.0994977278163</v>
      </c>
      <c r="H222" s="17"/>
      <c r="I222" s="17"/>
    </row>
    <row r="223" spans="1:9" ht="12.75">
      <c r="A223" s="13">
        <v>1877</v>
      </c>
      <c r="B223" s="12">
        <f aca="true" t="shared" si="79" ref="B223:G224">C202/$C202</f>
        <v>1</v>
      </c>
      <c r="C223" s="12">
        <f t="shared" si="79"/>
        <v>3.9702870264064294</v>
      </c>
      <c r="D223" s="12">
        <f t="shared" si="79"/>
        <v>26.047256027554536</v>
      </c>
      <c r="E223" s="12">
        <f t="shared" si="79"/>
        <v>43.31274397244547</v>
      </c>
      <c r="F223" s="12">
        <f t="shared" si="79"/>
        <v>122.25570608495981</v>
      </c>
      <c r="G223" s="12">
        <f t="shared" si="79"/>
        <v>495.5228473019518</v>
      </c>
      <c r="H223" s="17"/>
      <c r="I223" s="17"/>
    </row>
    <row r="224" spans="1:9" ht="12.75">
      <c r="A224" s="13">
        <v>1887</v>
      </c>
      <c r="B224" s="12">
        <f t="shared" si="79"/>
        <v>1</v>
      </c>
      <c r="C224" s="12">
        <f t="shared" si="79"/>
        <v>4.255914956982131</v>
      </c>
      <c r="D224" s="12">
        <f t="shared" si="79"/>
        <v>27.963103904698876</v>
      </c>
      <c r="E224" s="12">
        <f t="shared" si="79"/>
        <v>45.56829086697552</v>
      </c>
      <c r="F224" s="12">
        <f t="shared" si="79"/>
        <v>123.3893944407677</v>
      </c>
      <c r="G224" s="12">
        <f t="shared" si="79"/>
        <v>367.14162806088683</v>
      </c>
      <c r="H224" s="17"/>
      <c r="I224" s="17"/>
    </row>
    <row r="225" spans="1:9" ht="12.75">
      <c r="A225" s="13" t="s">
        <v>172</v>
      </c>
      <c r="B225" s="12">
        <f aca="true" t="shared" si="80" ref="B225:G225">C204/$C204</f>
        <v>1</v>
      </c>
      <c r="C225" s="12">
        <f t="shared" si="80"/>
        <v>5.205346650998825</v>
      </c>
      <c r="D225" s="12">
        <f t="shared" si="80"/>
        <v>45.205170387779084</v>
      </c>
      <c r="E225" s="12">
        <f t="shared" si="80"/>
        <v>87.85105757931845</v>
      </c>
      <c r="F225" s="12">
        <f t="shared" si="80"/>
        <v>230.9514688601645</v>
      </c>
      <c r="G225" s="12">
        <f t="shared" si="80"/>
        <v>1224.4806110458285</v>
      </c>
      <c r="H225" s="17"/>
      <c r="I225" s="17"/>
    </row>
    <row r="226" ht="12.75">
      <c r="A226" s="13"/>
    </row>
    <row r="227" spans="1:11" ht="12.75">
      <c r="A227" s="21" t="s">
        <v>85</v>
      </c>
      <c r="B227" s="13" t="s">
        <v>61</v>
      </c>
      <c r="C227" s="13" t="s">
        <v>50</v>
      </c>
      <c r="D227" s="13" t="s">
        <v>51</v>
      </c>
      <c r="E227" s="13" t="s">
        <v>52</v>
      </c>
      <c r="F227" s="13" t="s">
        <v>53</v>
      </c>
      <c r="G227" s="13" t="s">
        <v>54</v>
      </c>
      <c r="H227" s="13" t="s">
        <v>55</v>
      </c>
      <c r="I227" s="13" t="s">
        <v>56</v>
      </c>
      <c r="J227" s="27" t="s">
        <v>494</v>
      </c>
      <c r="K227" s="13" t="s">
        <v>130</v>
      </c>
    </row>
    <row r="228" spans="1:11" ht="12.75">
      <c r="A228" s="13">
        <v>1807</v>
      </c>
      <c r="B228" s="12">
        <f aca="true" t="shared" si="81" ref="B228:B237">100*B153/$B153</f>
        <v>100</v>
      </c>
      <c r="C228" s="12">
        <f aca="true" t="shared" si="82" ref="C228:C237">20*C153/$B153</f>
        <v>99.61348263513896</v>
      </c>
      <c r="D228" s="12">
        <f aca="true" t="shared" si="83" ref="D228:D237">10*D153/$B153</f>
        <v>95.93126527596203</v>
      </c>
      <c r="E228" s="12">
        <f aca="true" t="shared" si="84" ref="E228:E237">5*E153/$B153</f>
        <v>85.75232336724834</v>
      </c>
      <c r="F228" s="12">
        <f aca="true" t="shared" si="85" ref="F228:F237">1*F153/$B153</f>
        <v>51.148716819189445</v>
      </c>
      <c r="G228" s="12">
        <f aca="true" t="shared" si="86" ref="G228:G237">0.5*G153/$B153</f>
        <v>38.842952452680045</v>
      </c>
      <c r="H228" s="12">
        <f aca="true" t="shared" si="87" ref="H228:H237">0.1*H153/$B153</f>
        <v>18.067484226681067</v>
      </c>
      <c r="I228" s="12">
        <f aca="true" t="shared" si="88" ref="I228:I237">0.01*I153/$B153</f>
        <v>5.356654635366339</v>
      </c>
      <c r="J228" s="12">
        <f>I228-2</f>
        <v>3.356654635366339</v>
      </c>
      <c r="K228" s="46">
        <f>J228/I228</f>
        <v>0.6266326399325125</v>
      </c>
    </row>
    <row r="229" spans="1:11" ht="12.75">
      <c r="A229" s="13">
        <v>1817</v>
      </c>
      <c r="B229" s="12">
        <f t="shared" si="81"/>
        <v>100</v>
      </c>
      <c r="C229" s="12">
        <f t="shared" si="82"/>
        <v>99.86594491732949</v>
      </c>
      <c r="D229" s="12">
        <f t="shared" si="83"/>
        <v>97.86001821089398</v>
      </c>
      <c r="E229" s="12">
        <f t="shared" si="84"/>
        <v>89.71814616250273</v>
      </c>
      <c r="F229" s="12">
        <f t="shared" si="85"/>
        <v>56.66243385389437</v>
      </c>
      <c r="G229" s="12">
        <f t="shared" si="86"/>
        <v>42.65947069281519</v>
      </c>
      <c r="H229" s="12">
        <f t="shared" si="87"/>
        <v>18.32846358119017</v>
      </c>
      <c r="I229" s="12">
        <f t="shared" si="88"/>
        <v>3.323976184808102</v>
      </c>
      <c r="J229" s="12">
        <f>I229</f>
        <v>3.323976184808102</v>
      </c>
      <c r="K229" s="46">
        <f aca="true" t="shared" si="89" ref="K229:K236">J229/I229</f>
        <v>1</v>
      </c>
    </row>
    <row r="230" spans="1:11" ht="12.75">
      <c r="A230" s="13">
        <v>1827</v>
      </c>
      <c r="B230" s="12">
        <f t="shared" si="81"/>
        <v>100</v>
      </c>
      <c r="C230" s="12">
        <f t="shared" si="82"/>
        <v>99.87033457872718</v>
      </c>
      <c r="D230" s="12">
        <f t="shared" si="83"/>
        <v>97.53849769852616</v>
      </c>
      <c r="E230" s="12">
        <f t="shared" si="84"/>
        <v>88.93090685409321</v>
      </c>
      <c r="F230" s="12">
        <f t="shared" si="85"/>
        <v>52.2500751430339</v>
      </c>
      <c r="G230" s="12">
        <f t="shared" si="86"/>
        <v>38.12569682057591</v>
      </c>
      <c r="H230" s="12">
        <f t="shared" si="87"/>
        <v>16.890046081902415</v>
      </c>
      <c r="I230" s="12">
        <f t="shared" si="88"/>
        <v>3.7864432792419995</v>
      </c>
      <c r="J230" s="12">
        <f>I230</f>
        <v>3.7864432792419995</v>
      </c>
      <c r="K230" s="46">
        <f t="shared" si="89"/>
        <v>1</v>
      </c>
    </row>
    <row r="231" spans="1:11" ht="12.75">
      <c r="A231" s="13">
        <v>1837</v>
      </c>
      <c r="B231" s="12">
        <f t="shared" si="81"/>
        <v>100</v>
      </c>
      <c r="C231" s="12">
        <f t="shared" si="82"/>
        <v>99.84770528915415</v>
      </c>
      <c r="D231" s="12">
        <f t="shared" si="83"/>
        <v>97.7032311175139</v>
      </c>
      <c r="E231" s="12">
        <f t="shared" si="84"/>
        <v>88.82434657336901</v>
      </c>
      <c r="F231" s="12">
        <f t="shared" si="85"/>
        <v>50.031385058654045</v>
      </c>
      <c r="G231" s="12">
        <f t="shared" si="86"/>
        <v>36.035861288330935</v>
      </c>
      <c r="H231" s="12">
        <f t="shared" si="87"/>
        <v>14.756338752829802</v>
      </c>
      <c r="I231" s="12">
        <f t="shared" si="88"/>
        <v>2.7522957398641696</v>
      </c>
      <c r="J231" s="12">
        <f>I231</f>
        <v>2.7522957398641696</v>
      </c>
      <c r="K231" s="46">
        <f t="shared" si="89"/>
        <v>1</v>
      </c>
    </row>
    <row r="232" spans="1:11" ht="12.75">
      <c r="A232" s="13">
        <v>1847</v>
      </c>
      <c r="B232" s="12">
        <f t="shared" si="81"/>
        <v>100</v>
      </c>
      <c r="C232" s="12">
        <f t="shared" si="82"/>
        <v>99.93385124221214</v>
      </c>
      <c r="D232" s="12">
        <f t="shared" si="83"/>
        <v>98.28474732712868</v>
      </c>
      <c r="E232" s="12">
        <f t="shared" si="84"/>
        <v>90.71648334743482</v>
      </c>
      <c r="F232" s="12">
        <f t="shared" si="85"/>
        <v>55.789631566802555</v>
      </c>
      <c r="G232" s="12">
        <f t="shared" si="86"/>
        <v>41.7902469040843</v>
      </c>
      <c r="H232" s="12">
        <f t="shared" si="87"/>
        <v>21.3350357664795</v>
      </c>
      <c r="I232" s="12">
        <f t="shared" si="88"/>
        <v>7.269480039996923</v>
      </c>
      <c r="J232" s="12">
        <f>I232-4</f>
        <v>3.269480039996923</v>
      </c>
      <c r="K232" s="46">
        <f t="shared" si="89"/>
        <v>0.44975431832925244</v>
      </c>
    </row>
    <row r="233" spans="1:11" ht="12.75">
      <c r="A233" s="13">
        <v>1857</v>
      </c>
      <c r="B233" s="12">
        <f t="shared" si="81"/>
        <v>100</v>
      </c>
      <c r="C233" s="12">
        <f t="shared" si="82"/>
        <v>99.72441181779891</v>
      </c>
      <c r="D233" s="12">
        <f t="shared" si="83"/>
        <v>96.87887357843432</v>
      </c>
      <c r="E233" s="12">
        <f t="shared" si="84"/>
        <v>87.90059570371263</v>
      </c>
      <c r="F233" s="12">
        <f t="shared" si="85"/>
        <v>51.031108971658945</v>
      </c>
      <c r="G233" s="12">
        <f t="shared" si="86"/>
        <v>35.73614537577472</v>
      </c>
      <c r="H233" s="12">
        <f t="shared" si="87"/>
        <v>13.350424213249896</v>
      </c>
      <c r="I233" s="12">
        <f t="shared" si="88"/>
        <v>2.4314447319333294</v>
      </c>
      <c r="J233" s="12">
        <f>I233+2</f>
        <v>4.431444731933329</v>
      </c>
      <c r="K233" s="46">
        <f t="shared" si="89"/>
        <v>1.8225562250019671</v>
      </c>
    </row>
    <row r="234" spans="1:11" ht="12.75">
      <c r="A234" s="13">
        <v>1867</v>
      </c>
      <c r="B234" s="12">
        <f t="shared" si="81"/>
        <v>100</v>
      </c>
      <c r="C234" s="12">
        <f t="shared" si="82"/>
        <v>99.79633401221996</v>
      </c>
      <c r="D234" s="12">
        <f t="shared" si="83"/>
        <v>96.79856463970516</v>
      </c>
      <c r="E234" s="12">
        <f t="shared" si="84"/>
        <v>88.15948986519251</v>
      </c>
      <c r="F234" s="12">
        <f t="shared" si="85"/>
        <v>52.40757443506934</v>
      </c>
      <c r="G234" s="12">
        <f t="shared" si="86"/>
        <v>38.00312772766948</v>
      </c>
      <c r="H234" s="12">
        <f t="shared" si="87"/>
        <v>15.973227620987297</v>
      </c>
      <c r="I234" s="12">
        <f t="shared" si="88"/>
        <v>3.9607336824750266</v>
      </c>
      <c r="J234" s="12">
        <f>I234</f>
        <v>3.9607336824750266</v>
      </c>
      <c r="K234" s="46">
        <f t="shared" si="89"/>
        <v>1</v>
      </c>
    </row>
    <row r="235" spans="1:11" ht="12.75">
      <c r="A235" s="13">
        <v>1877</v>
      </c>
      <c r="B235" s="12">
        <f t="shared" si="81"/>
        <v>100</v>
      </c>
      <c r="C235" s="12">
        <f t="shared" si="82"/>
        <v>99.78751567507315</v>
      </c>
      <c r="D235" s="12">
        <f t="shared" si="83"/>
        <v>96.90330221541033</v>
      </c>
      <c r="E235" s="12">
        <f t="shared" si="84"/>
        <v>89.16417026612791</v>
      </c>
      <c r="F235" s="12">
        <f t="shared" si="85"/>
        <v>58.98547443221402</v>
      </c>
      <c r="G235" s="12">
        <f t="shared" si="86"/>
        <v>46.5060610282848</v>
      </c>
      <c r="H235" s="12">
        <f t="shared" si="87"/>
        <v>24.607203566949984</v>
      </c>
      <c r="I235" s="12">
        <f t="shared" si="88"/>
        <v>10.77765779573638</v>
      </c>
      <c r="J235" s="12">
        <f>I235-6</f>
        <v>4.7776577957363795</v>
      </c>
      <c r="K235" s="46">
        <f t="shared" si="89"/>
        <v>0.44329277161002567</v>
      </c>
    </row>
    <row r="236" spans="1:11" ht="12.75">
      <c r="A236" s="13">
        <v>1887</v>
      </c>
      <c r="B236" s="12">
        <f t="shared" si="81"/>
        <v>100</v>
      </c>
      <c r="C236" s="12">
        <f t="shared" si="82"/>
        <v>99.81859698084486</v>
      </c>
      <c r="D236" s="12">
        <f t="shared" si="83"/>
        <v>97.06108080679944</v>
      </c>
      <c r="E236" s="12">
        <f t="shared" si="84"/>
        <v>88.87780667258657</v>
      </c>
      <c r="F236" s="12">
        <f t="shared" si="85"/>
        <v>55.49067613852594</v>
      </c>
      <c r="G236" s="12">
        <f t="shared" si="86"/>
        <v>41.8826271723963</v>
      </c>
      <c r="H236" s="12">
        <f t="shared" si="87"/>
        <v>20.108299505264494</v>
      </c>
      <c r="I236" s="12">
        <f t="shared" si="88"/>
        <v>6.329392363313459</v>
      </c>
      <c r="J236" s="12">
        <f>I236</f>
        <v>6.329392363313459</v>
      </c>
      <c r="K236" s="46">
        <f t="shared" si="89"/>
        <v>1</v>
      </c>
    </row>
    <row r="237" spans="1:11" ht="12.75">
      <c r="A237" s="13" t="s">
        <v>172</v>
      </c>
      <c r="B237" s="12">
        <f t="shared" si="81"/>
        <v>100</v>
      </c>
      <c r="C237" s="12">
        <f t="shared" si="82"/>
        <v>99.8938006106465</v>
      </c>
      <c r="D237" s="12">
        <f t="shared" si="83"/>
        <v>98.33691756272401</v>
      </c>
      <c r="E237" s="12">
        <f t="shared" si="84"/>
        <v>92.78414974113899</v>
      </c>
      <c r="F237" s="12">
        <f t="shared" si="85"/>
        <v>63.68870303995752</v>
      </c>
      <c r="G237" s="12">
        <f t="shared" si="86"/>
        <v>49.87071551838577</v>
      </c>
      <c r="H237" s="12">
        <f t="shared" si="87"/>
        <v>25.629257931766894</v>
      </c>
      <c r="I237" s="12">
        <f t="shared" si="88"/>
        <v>8.143278906146291</v>
      </c>
      <c r="J237" s="13"/>
      <c r="K237" s="46"/>
    </row>
    <row r="238" ht="12.75">
      <c r="A238" s="13"/>
    </row>
    <row r="239" spans="1:9" ht="12.75">
      <c r="A239" s="21" t="s">
        <v>85</v>
      </c>
      <c r="B239" s="13" t="s">
        <v>62</v>
      </c>
      <c r="C239" s="13" t="s">
        <v>63</v>
      </c>
      <c r="D239" s="13" t="s">
        <v>64</v>
      </c>
      <c r="E239" s="13" t="s">
        <v>65</v>
      </c>
      <c r="F239" s="13" t="s">
        <v>66</v>
      </c>
      <c r="G239" s="13" t="s">
        <v>67</v>
      </c>
      <c r="H239" s="13" t="s">
        <v>68</v>
      </c>
      <c r="I239" s="13" t="s">
        <v>56</v>
      </c>
    </row>
    <row r="240" spans="1:9" ht="12.75">
      <c r="A240" s="13">
        <v>1807</v>
      </c>
      <c r="B240" s="12">
        <f aca="true" t="shared" si="90" ref="B240:I245">B228-C228</f>
        <v>0.38651736486103516</v>
      </c>
      <c r="C240" s="12">
        <f t="shared" si="90"/>
        <v>3.6822173591769314</v>
      </c>
      <c r="D240" s="12">
        <f t="shared" si="90"/>
        <v>10.178941908713696</v>
      </c>
      <c r="E240" s="12">
        <f t="shared" si="90"/>
        <v>34.60360654805889</v>
      </c>
      <c r="F240" s="12">
        <f t="shared" si="90"/>
        <v>12.3057643665094</v>
      </c>
      <c r="G240" s="12">
        <f t="shared" si="90"/>
        <v>20.775468225998978</v>
      </c>
      <c r="H240" s="12">
        <f t="shared" si="90"/>
        <v>12.710829591314727</v>
      </c>
      <c r="I240" s="12">
        <f t="shared" si="90"/>
        <v>2</v>
      </c>
    </row>
    <row r="241" spans="1:9" ht="12.75">
      <c r="A241" s="13">
        <v>1817</v>
      </c>
      <c r="B241" s="12">
        <f t="shared" si="90"/>
        <v>0.13405508267051403</v>
      </c>
      <c r="C241" s="12">
        <f t="shared" si="90"/>
        <v>2.0059267064355026</v>
      </c>
      <c r="D241" s="12">
        <f t="shared" si="90"/>
        <v>8.14187204839125</v>
      </c>
      <c r="E241" s="12">
        <f t="shared" si="90"/>
        <v>33.05571230860836</v>
      </c>
      <c r="F241" s="12">
        <f t="shared" si="90"/>
        <v>14.00296316107918</v>
      </c>
      <c r="G241" s="12">
        <f t="shared" si="90"/>
        <v>24.33100711162502</v>
      </c>
      <c r="H241" s="12">
        <f t="shared" si="90"/>
        <v>15.004487396382068</v>
      </c>
      <c r="I241" s="12">
        <f t="shared" si="90"/>
        <v>0</v>
      </c>
    </row>
    <row r="242" spans="1:9" ht="12.75">
      <c r="A242" s="13">
        <v>1827</v>
      </c>
      <c r="B242" s="12">
        <f t="shared" si="90"/>
        <v>0.12966542127281855</v>
      </c>
      <c r="C242" s="12">
        <f t="shared" si="90"/>
        <v>2.331836880201024</v>
      </c>
      <c r="D242" s="12">
        <f t="shared" si="90"/>
        <v>8.607590844432949</v>
      </c>
      <c r="E242" s="12">
        <f t="shared" si="90"/>
        <v>36.68083171105931</v>
      </c>
      <c r="F242" s="12">
        <f t="shared" si="90"/>
        <v>14.124378322457986</v>
      </c>
      <c r="G242" s="12">
        <f t="shared" si="90"/>
        <v>21.235650738673495</v>
      </c>
      <c r="H242" s="12">
        <f t="shared" si="90"/>
        <v>13.103602802660415</v>
      </c>
      <c r="I242" s="12">
        <f t="shared" si="90"/>
        <v>0</v>
      </c>
    </row>
    <row r="243" spans="1:9" ht="12.75">
      <c r="A243" s="13">
        <v>1837</v>
      </c>
      <c r="B243" s="12">
        <f t="shared" si="90"/>
        <v>0.152294710845851</v>
      </c>
      <c r="C243" s="12">
        <f t="shared" si="90"/>
        <v>2.1444741716402547</v>
      </c>
      <c r="D243" s="12">
        <f t="shared" si="90"/>
        <v>8.878884544144881</v>
      </c>
      <c r="E243" s="12">
        <f t="shared" si="90"/>
        <v>38.79296151471497</v>
      </c>
      <c r="F243" s="12">
        <f t="shared" si="90"/>
        <v>13.99552377032311</v>
      </c>
      <c r="G243" s="12">
        <f t="shared" si="90"/>
        <v>21.279522535501133</v>
      </c>
      <c r="H243" s="12">
        <f t="shared" si="90"/>
        <v>12.004043012965631</v>
      </c>
      <c r="I243" s="12">
        <f t="shared" si="90"/>
        <v>0</v>
      </c>
    </row>
    <row r="244" spans="1:9" ht="12.75">
      <c r="A244" s="13">
        <v>1847</v>
      </c>
      <c r="B244" s="12">
        <f t="shared" si="90"/>
        <v>0.06614875778785745</v>
      </c>
      <c r="C244" s="12">
        <f t="shared" si="90"/>
        <v>1.649103915083458</v>
      </c>
      <c r="D244" s="12">
        <f t="shared" si="90"/>
        <v>7.568263979693867</v>
      </c>
      <c r="E244" s="12">
        <f t="shared" si="90"/>
        <v>34.92685178063226</v>
      </c>
      <c r="F244" s="12">
        <f t="shared" si="90"/>
        <v>13.999384662718256</v>
      </c>
      <c r="G244" s="12">
        <f t="shared" si="90"/>
        <v>20.4552111376048</v>
      </c>
      <c r="H244" s="12">
        <f t="shared" si="90"/>
        <v>14.065555726482577</v>
      </c>
      <c r="I244" s="12">
        <f t="shared" si="90"/>
        <v>4</v>
      </c>
    </row>
    <row r="245" spans="1:9" ht="12.75">
      <c r="A245" s="13">
        <v>1857</v>
      </c>
      <c r="B245" s="12">
        <f t="shared" si="90"/>
        <v>0.2755881822010906</v>
      </c>
      <c r="C245" s="12">
        <f t="shared" si="90"/>
        <v>2.8455382393645863</v>
      </c>
      <c r="D245" s="12">
        <f t="shared" si="90"/>
        <v>8.978277874721698</v>
      </c>
      <c r="E245" s="12">
        <f t="shared" si="90"/>
        <v>36.86948673205368</v>
      </c>
      <c r="F245" s="12">
        <f t="shared" si="90"/>
        <v>15.294963595884226</v>
      </c>
      <c r="G245" s="12">
        <f t="shared" si="90"/>
        <v>22.385721162524824</v>
      </c>
      <c r="H245" s="12">
        <f t="shared" si="90"/>
        <v>10.918979481316567</v>
      </c>
      <c r="I245" s="12">
        <f t="shared" si="90"/>
        <v>-1.9999999999999996</v>
      </c>
    </row>
    <row r="246" spans="1:9" ht="12.75">
      <c r="A246" s="13">
        <v>1867</v>
      </c>
      <c r="B246" s="12">
        <f aca="true" t="shared" si="91" ref="B246:I246">B234-C234</f>
        <v>0.20366598778004175</v>
      </c>
      <c r="C246" s="12">
        <f t="shared" si="91"/>
        <v>2.997769372514796</v>
      </c>
      <c r="D246" s="12">
        <f t="shared" si="91"/>
        <v>8.63907477451265</v>
      </c>
      <c r="E246" s="12">
        <f t="shared" si="91"/>
        <v>35.75191543012317</v>
      </c>
      <c r="F246" s="12">
        <f t="shared" si="91"/>
        <v>14.404446707399863</v>
      </c>
      <c r="G246" s="12">
        <f t="shared" si="91"/>
        <v>22.029900106682184</v>
      </c>
      <c r="H246" s="12">
        <f t="shared" si="91"/>
        <v>12.01249393851227</v>
      </c>
      <c r="I246" s="12">
        <f t="shared" si="91"/>
        <v>0</v>
      </c>
    </row>
    <row r="247" spans="1:9" ht="12.75">
      <c r="A247" s="13" t="s">
        <v>172</v>
      </c>
      <c r="B247" s="12">
        <f aca="true" t="shared" si="92" ref="B247:I247">B237-C237</f>
        <v>0.10619938935350604</v>
      </c>
      <c r="C247" s="12">
        <f t="shared" si="92"/>
        <v>1.5568830479224829</v>
      </c>
      <c r="D247" s="12">
        <f t="shared" si="92"/>
        <v>5.552767821585022</v>
      </c>
      <c r="E247" s="12">
        <f t="shared" si="92"/>
        <v>29.095446701181473</v>
      </c>
      <c r="F247" s="12">
        <f t="shared" si="92"/>
        <v>13.817987521571744</v>
      </c>
      <c r="G247" s="12">
        <f t="shared" si="92"/>
        <v>24.24145758661888</v>
      </c>
      <c r="H247" s="12">
        <f t="shared" si="92"/>
        <v>17.4859790256206</v>
      </c>
      <c r="I247" s="12">
        <f t="shared" si="92"/>
        <v>8.143278906146291</v>
      </c>
    </row>
    <row r="248" ht="12.75">
      <c r="A248" s="13"/>
    </row>
    <row r="249" ht="12.75">
      <c r="A249" s="20" t="s">
        <v>238</v>
      </c>
    </row>
    <row r="250" ht="12.75">
      <c r="A250" s="20" t="s">
        <v>239</v>
      </c>
    </row>
    <row r="251" ht="12.75">
      <c r="A251" s="20" t="s">
        <v>240</v>
      </c>
    </row>
    <row r="252" ht="12.75">
      <c r="A252" s="20" t="s">
        <v>241</v>
      </c>
    </row>
    <row r="253" ht="12.75">
      <c r="A253" s="20" t="s">
        <v>242</v>
      </c>
    </row>
    <row r="254" ht="12.75">
      <c r="A254" s="20" t="s">
        <v>243</v>
      </c>
    </row>
    <row r="255" ht="12.75">
      <c r="A255" s="20" t="s">
        <v>244</v>
      </c>
    </row>
    <row r="256" ht="12.75">
      <c r="A256" s="20" t="s">
        <v>245</v>
      </c>
    </row>
    <row r="257" ht="12.75">
      <c r="A257" s="20" t="s">
        <v>246</v>
      </c>
    </row>
    <row r="258" ht="12.75">
      <c r="A258" s="20" t="s">
        <v>247</v>
      </c>
    </row>
    <row r="259" ht="12.75">
      <c r="A259" s="20" t="s">
        <v>248</v>
      </c>
    </row>
    <row r="260" ht="12.75">
      <c r="A260" s="20"/>
    </row>
    <row r="261" ht="12.75">
      <c r="A261" s="20" t="s">
        <v>503</v>
      </c>
    </row>
    <row r="262" spans="1:9" ht="12.75">
      <c r="A262" s="13"/>
      <c r="B262" s="11"/>
      <c r="C262" s="11"/>
      <c r="D262" s="11"/>
      <c r="E262" s="11"/>
      <c r="F262" s="11"/>
      <c r="G262" s="11"/>
      <c r="H262" s="11"/>
      <c r="I262" s="11"/>
    </row>
    <row r="263" ht="12.75">
      <c r="A263" s="18" t="s">
        <v>91</v>
      </c>
    </row>
    <row r="264" ht="12.75">
      <c r="A264" s="13"/>
    </row>
    <row r="265" spans="1:19" ht="12.75">
      <c r="A265" s="13"/>
      <c r="B265" s="68" t="s">
        <v>79</v>
      </c>
      <c r="C265" s="68"/>
      <c r="D265" s="68"/>
      <c r="E265" s="68"/>
      <c r="F265" s="68"/>
      <c r="G265" s="68" t="s">
        <v>92</v>
      </c>
      <c r="H265" s="68"/>
      <c r="I265" s="68"/>
      <c r="J265" s="68"/>
      <c r="K265" s="68"/>
      <c r="L265" s="68" t="s">
        <v>88</v>
      </c>
      <c r="M265" s="68"/>
      <c r="N265" s="68"/>
      <c r="O265" s="67" t="s">
        <v>375</v>
      </c>
      <c r="P265" s="67"/>
      <c r="Q265" s="67"/>
      <c r="R265" s="67"/>
      <c r="S265" s="67"/>
    </row>
    <row r="266" spans="1:61" ht="12.75">
      <c r="A266" s="13"/>
      <c r="B266" s="24" t="s">
        <v>93</v>
      </c>
      <c r="C266" s="24" t="s">
        <v>94</v>
      </c>
      <c r="D266" s="24" t="s">
        <v>18</v>
      </c>
      <c r="E266" s="24" t="s">
        <v>95</v>
      </c>
      <c r="F266" s="24" t="s">
        <v>96</v>
      </c>
      <c r="G266" s="24" t="s">
        <v>93</v>
      </c>
      <c r="H266" s="24" t="s">
        <v>94</v>
      </c>
      <c r="I266" s="24" t="s">
        <v>18</v>
      </c>
      <c r="J266" s="24" t="s">
        <v>95</v>
      </c>
      <c r="K266" s="24" t="s">
        <v>96</v>
      </c>
      <c r="L266" s="24" t="s">
        <v>97</v>
      </c>
      <c r="M266" s="24" t="s">
        <v>98</v>
      </c>
      <c r="N266" s="24" t="s">
        <v>18</v>
      </c>
      <c r="O266" s="24" t="s">
        <v>93</v>
      </c>
      <c r="P266" s="24" t="s">
        <v>94</v>
      </c>
      <c r="Q266" s="24" t="s">
        <v>18</v>
      </c>
      <c r="R266" s="24" t="s">
        <v>95</v>
      </c>
      <c r="S266" s="24" t="s">
        <v>96</v>
      </c>
      <c r="T266" s="21" t="s">
        <v>374</v>
      </c>
      <c r="U266" s="21" t="s">
        <v>376</v>
      </c>
      <c r="V266" s="21" t="s">
        <v>64</v>
      </c>
      <c r="W266" s="21" t="s">
        <v>65</v>
      </c>
      <c r="X266" s="21" t="s">
        <v>66</v>
      </c>
      <c r="Y266" s="21" t="s">
        <v>67</v>
      </c>
      <c r="Z266" s="21" t="s">
        <v>55</v>
      </c>
      <c r="AA266" s="21" t="s">
        <v>53</v>
      </c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</row>
    <row r="267" spans="1:129" ht="12.75">
      <c r="A267" s="13">
        <v>1807</v>
      </c>
      <c r="B267" s="15"/>
      <c r="C267" s="15"/>
      <c r="D267" s="15"/>
      <c r="E267" s="15"/>
      <c r="F267" s="15"/>
      <c r="G267" s="15">
        <f aca="true" t="shared" si="93" ref="G267:G276">C55*B287/1000</f>
        <v>41269.19197240106</v>
      </c>
      <c r="H267" s="15">
        <f>I267-G267</f>
        <v>24159.038441156976</v>
      </c>
      <c r="I267" s="15">
        <f aca="true" t="shared" si="94" ref="I267:I275">G55</f>
        <v>65428.230413558034</v>
      </c>
      <c r="J267" s="26">
        <f aca="true" t="shared" si="95" ref="J267:J276">100*G267/($G267+$H267)</f>
        <v>63.07551298812027</v>
      </c>
      <c r="K267" s="26">
        <f aca="true" t="shared" si="96" ref="K267:K276">100*H267/($G267+$H267)</f>
        <v>36.92448701187973</v>
      </c>
      <c r="L267" s="15"/>
      <c r="M267" s="15"/>
      <c r="N267" s="15"/>
      <c r="O267" s="15">
        <f>G267</f>
        <v>41269.19197240106</v>
      </c>
      <c r="P267" s="15">
        <f>Q267-O267</f>
        <v>24159.038441156976</v>
      </c>
      <c r="Q267" s="15">
        <f aca="true" t="shared" si="97" ref="Q267:Q273">C55*M55/1000</f>
        <v>65428.230413558034</v>
      </c>
      <c r="R267" s="26">
        <f>100*O267/$Q267</f>
        <v>63.07551298812027</v>
      </c>
      <c r="S267" s="26">
        <f>100*P267/$Q267</f>
        <v>36.92448701187973</v>
      </c>
      <c r="T267" s="62">
        <f>J267*J$269/(1.083*R$269)</f>
        <v>62.014420891302194</v>
      </c>
      <c r="U267" s="62">
        <f aca="true" t="shared" si="98" ref="U267:U273">J323*$T267/$J267</f>
        <v>90.41214058435008</v>
      </c>
      <c r="V267" s="62">
        <f aca="true" t="shared" si="99" ref="V267:Y273">D323*$T267/$J267</f>
        <v>67.86420614039751</v>
      </c>
      <c r="W267" s="62">
        <f t="shared" si="99"/>
        <v>53.9892146100533</v>
      </c>
      <c r="X267" s="62">
        <f t="shared" si="99"/>
        <v>53.86376415279808</v>
      </c>
      <c r="Y267" s="62">
        <f t="shared" si="99"/>
        <v>54.38805589998388</v>
      </c>
      <c r="Z267" s="62">
        <f aca="true" t="shared" si="100" ref="Z267:Z273">H299*$T267/$J267</f>
        <v>79.12088574613456</v>
      </c>
      <c r="AA267" s="62">
        <f aca="true" t="shared" si="101" ref="AA267:AA273">F299*$T267/$J267</f>
        <v>63.6986848976606</v>
      </c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</row>
    <row r="268" spans="1:129" ht="12.75">
      <c r="A268" s="13">
        <v>1817</v>
      </c>
      <c r="B268" s="15"/>
      <c r="C268" s="15"/>
      <c r="D268" s="15"/>
      <c r="E268" s="15"/>
      <c r="F268" s="15"/>
      <c r="G268" s="15">
        <f t="shared" si="93"/>
        <v>36418.95</v>
      </c>
      <c r="H268" s="15">
        <f aca="true" t="shared" si="102" ref="H268:H276">I268-G268</f>
        <v>25645.630725000003</v>
      </c>
      <c r="I268" s="15">
        <f t="shared" si="94"/>
        <v>62064.580725</v>
      </c>
      <c r="J268" s="26">
        <f t="shared" si="95"/>
        <v>58.67912032044102</v>
      </c>
      <c r="K268" s="26">
        <f t="shared" si="96"/>
        <v>41.32087967955898</v>
      </c>
      <c r="L268" s="15"/>
      <c r="M268" s="15"/>
      <c r="N268" s="15"/>
      <c r="O268" s="15">
        <f aca="true" t="shared" si="103" ref="O268:O276">G268</f>
        <v>36418.95</v>
      </c>
      <c r="P268" s="15">
        <f aca="true" t="shared" si="104" ref="P268:P276">Q268-O268</f>
        <v>25645.630725000003</v>
      </c>
      <c r="Q268" s="15">
        <f t="shared" si="97"/>
        <v>62064.580725</v>
      </c>
      <c r="R268" s="26">
        <f aca="true" t="shared" si="105" ref="R268:S276">100*O268/$Q268</f>
        <v>58.67912032044102</v>
      </c>
      <c r="S268" s="26">
        <f t="shared" si="105"/>
        <v>41.32087967955898</v>
      </c>
      <c r="T268" s="62">
        <f>J268*J$269/(1.083*R$269)</f>
        <v>57.691986837563384</v>
      </c>
      <c r="U268" s="62">
        <f t="shared" si="98"/>
        <v>95.97684456717569</v>
      </c>
      <c r="V268" s="62">
        <f t="shared" si="99"/>
        <v>69.65188557684887</v>
      </c>
      <c r="W268" s="62">
        <f t="shared" si="99"/>
        <v>54.395615406742394</v>
      </c>
      <c r="X268" s="62">
        <f t="shared" si="99"/>
        <v>46.08406022408664</v>
      </c>
      <c r="Y268" s="62">
        <f t="shared" si="99"/>
        <v>47.96670707248279</v>
      </c>
      <c r="Z268" s="62">
        <f t="shared" si="100"/>
        <v>74.71370945530589</v>
      </c>
      <c r="AA268" s="62">
        <f t="shared" si="101"/>
        <v>56.153372369364554</v>
      </c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</row>
    <row r="269" spans="1:129" ht="12.75">
      <c r="A269" s="13">
        <v>1827</v>
      </c>
      <c r="B269" s="15">
        <v>474000</v>
      </c>
      <c r="C269" s="15">
        <v>886000</v>
      </c>
      <c r="D269" s="15">
        <v>1360000</v>
      </c>
      <c r="E269" s="26">
        <f aca="true" t="shared" si="106" ref="E269:F275">100*B269/$D269</f>
        <v>34.85294117647059</v>
      </c>
      <c r="F269" s="26">
        <f t="shared" si="106"/>
        <v>65.1470588235294</v>
      </c>
      <c r="G269" s="15">
        <f t="shared" si="93"/>
        <v>77137.101</v>
      </c>
      <c r="H269" s="15">
        <f t="shared" si="102"/>
        <v>52427.64367199999</v>
      </c>
      <c r="I269" s="15">
        <f t="shared" si="94"/>
        <v>129564.74467199999</v>
      </c>
      <c r="J269" s="26">
        <f t="shared" si="95"/>
        <v>59.53556362517956</v>
      </c>
      <c r="K269" s="26">
        <f t="shared" si="96"/>
        <v>40.464436374820444</v>
      </c>
      <c r="L269" s="12">
        <f aca="true" t="shared" si="107" ref="L269:N276">100*G269/B269</f>
        <v>16.27365</v>
      </c>
      <c r="M269" s="12">
        <f t="shared" si="107"/>
        <v>5.917341272234762</v>
      </c>
      <c r="N269" s="12">
        <f t="shared" si="107"/>
        <v>9.52681946117647</v>
      </c>
      <c r="O269" s="15">
        <f t="shared" si="103"/>
        <v>77137.101</v>
      </c>
      <c r="P269" s="15">
        <f t="shared" si="104"/>
        <v>60820.99799999999</v>
      </c>
      <c r="Q269" s="15">
        <f t="shared" si="97"/>
        <v>137958.099</v>
      </c>
      <c r="R269" s="26">
        <f t="shared" si="105"/>
        <v>55.91342701815571</v>
      </c>
      <c r="S269" s="26">
        <f t="shared" si="105"/>
        <v>44.086572981844284</v>
      </c>
      <c r="T269" s="62">
        <f>J269/1.083</f>
        <v>54.972819598503754</v>
      </c>
      <c r="U269" s="62">
        <f t="shared" si="98"/>
        <v>87.96564103849381</v>
      </c>
      <c r="V269" s="62">
        <f t="shared" si="99"/>
        <v>70.71368508690503</v>
      </c>
      <c r="W269" s="62">
        <f t="shared" si="99"/>
        <v>50.135250279724</v>
      </c>
      <c r="X269" s="62">
        <f t="shared" si="99"/>
        <v>54.25132532021806</v>
      </c>
      <c r="Y269" s="62">
        <f t="shared" si="99"/>
        <v>44.55173809154141</v>
      </c>
      <c r="Z269" s="62">
        <f t="shared" si="100"/>
        <v>63.31362794161252</v>
      </c>
      <c r="AA269" s="62">
        <f t="shared" si="101"/>
        <v>54.136659652697396</v>
      </c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</row>
    <row r="270" spans="1:129" ht="12.75">
      <c r="A270" s="13">
        <v>1837</v>
      </c>
      <c r="B270" s="15">
        <v>613000</v>
      </c>
      <c r="C270" s="15">
        <v>1063000</v>
      </c>
      <c r="D270" s="15">
        <v>1676000</v>
      </c>
      <c r="E270" s="26">
        <f>100*B270/$D270</f>
        <v>36.575178997613364</v>
      </c>
      <c r="F270" s="26">
        <f>100*C270/$D270</f>
        <v>63.424821002386636</v>
      </c>
      <c r="G270" s="15">
        <f t="shared" si="93"/>
        <v>86994.594</v>
      </c>
      <c r="H270" s="15">
        <f t="shared" si="102"/>
        <v>77259.042</v>
      </c>
      <c r="I270" s="15">
        <f t="shared" si="94"/>
        <v>164253.636</v>
      </c>
      <c r="J270" s="26">
        <f t="shared" si="95"/>
        <v>52.96357275159498</v>
      </c>
      <c r="K270" s="26">
        <f t="shared" si="96"/>
        <v>47.036427248405026</v>
      </c>
      <c r="L270" s="12">
        <f t="shared" si="107"/>
        <v>14.191614029363786</v>
      </c>
      <c r="M270" s="12">
        <f t="shared" si="107"/>
        <v>7.268019002822202</v>
      </c>
      <c r="N270" s="12">
        <f t="shared" si="107"/>
        <v>9.800336276849642</v>
      </c>
      <c r="O270" s="15">
        <f t="shared" si="103"/>
        <v>86994.594</v>
      </c>
      <c r="P270" s="15">
        <f t="shared" si="104"/>
        <v>83259.252</v>
      </c>
      <c r="Q270" s="15">
        <f t="shared" si="97"/>
        <v>170253.846</v>
      </c>
      <c r="R270" s="26">
        <f t="shared" si="105"/>
        <v>51.09699195870149</v>
      </c>
      <c r="S270" s="26">
        <f t="shared" si="105"/>
        <v>48.90300804129852</v>
      </c>
      <c r="T270" s="62">
        <f>J270/1.083</f>
        <v>48.90449930895197</v>
      </c>
      <c r="U270" s="62">
        <f t="shared" si="98"/>
        <v>88.27923113818511</v>
      </c>
      <c r="V270" s="62">
        <f t="shared" si="99"/>
        <v>66.66746276029977</v>
      </c>
      <c r="W270" s="62">
        <f t="shared" si="99"/>
        <v>46.12420926541693</v>
      </c>
      <c r="X270" s="62">
        <f t="shared" si="99"/>
        <v>43.67632079754562</v>
      </c>
      <c r="Y270" s="62">
        <f t="shared" si="99"/>
        <v>45.191084274500355</v>
      </c>
      <c r="Z270" s="62">
        <f t="shared" si="100"/>
        <v>49.30038258401935</v>
      </c>
      <c r="AA270" s="62">
        <f t="shared" si="101"/>
        <v>45.97937425993123</v>
      </c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</row>
    <row r="271" spans="1:129" ht="12.75">
      <c r="A271" s="13">
        <v>1847</v>
      </c>
      <c r="B271" s="15">
        <v>784000</v>
      </c>
      <c r="C271" s="15">
        <v>1271000</v>
      </c>
      <c r="D271" s="15">
        <v>2055000</v>
      </c>
      <c r="E271" s="26">
        <f t="shared" si="106"/>
        <v>38.15085158150852</v>
      </c>
      <c r="F271" s="26">
        <f t="shared" si="106"/>
        <v>61.84914841849148</v>
      </c>
      <c r="G271" s="15">
        <f t="shared" si="93"/>
        <v>136903.415</v>
      </c>
      <c r="H271" s="15">
        <f t="shared" si="102"/>
        <v>99311.75399999999</v>
      </c>
      <c r="I271" s="15">
        <f t="shared" si="94"/>
        <v>236215.169</v>
      </c>
      <c r="J271" s="26">
        <f t="shared" si="95"/>
        <v>57.95708022459811</v>
      </c>
      <c r="K271" s="26">
        <f t="shared" si="96"/>
        <v>42.042919775401884</v>
      </c>
      <c r="L271" s="12">
        <f t="shared" si="107"/>
        <v>17.462170280612245</v>
      </c>
      <c r="M271" s="12">
        <f t="shared" si="107"/>
        <v>7.81367065302911</v>
      </c>
      <c r="N271" s="12">
        <f t="shared" si="107"/>
        <v>11.494655425790754</v>
      </c>
      <c r="O271" s="15">
        <f t="shared" si="103"/>
        <v>136903.415</v>
      </c>
      <c r="P271" s="15">
        <f t="shared" si="104"/>
        <v>119370.32999999999</v>
      </c>
      <c r="Q271" s="15">
        <f t="shared" si="97"/>
        <v>256273.745</v>
      </c>
      <c r="R271" s="26">
        <f t="shared" si="105"/>
        <v>53.42077277561149</v>
      </c>
      <c r="S271" s="26">
        <f t="shared" si="105"/>
        <v>46.57922722438851</v>
      </c>
      <c r="T271" s="62">
        <f>J271/1.083</f>
        <v>53.51530953333159</v>
      </c>
      <c r="U271" s="62">
        <f t="shared" si="98"/>
        <v>90.84070118015151</v>
      </c>
      <c r="V271" s="62">
        <f t="shared" si="99"/>
        <v>68.76464453007846</v>
      </c>
      <c r="W271" s="62">
        <f t="shared" si="99"/>
        <v>49.821075940227715</v>
      </c>
      <c r="X271" s="62">
        <f t="shared" si="99"/>
        <v>48.79396333356802</v>
      </c>
      <c r="Y271" s="62">
        <f t="shared" si="99"/>
        <v>41.36563214455826</v>
      </c>
      <c r="Z271" s="62">
        <f t="shared" si="100"/>
        <v>63.57968991132151</v>
      </c>
      <c r="AA271" s="62">
        <f t="shared" si="101"/>
        <v>52.626872526703224</v>
      </c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</row>
    <row r="272" spans="1:129" ht="12.75">
      <c r="A272" s="13">
        <v>1857</v>
      </c>
      <c r="B272" s="15">
        <v>962000</v>
      </c>
      <c r="C272" s="15">
        <v>1279000</v>
      </c>
      <c r="D272" s="15">
        <v>2241000</v>
      </c>
      <c r="E272" s="26">
        <f>100*B272/$D272</f>
        <v>42.927264614011605</v>
      </c>
      <c r="F272" s="26">
        <f>100*C272/$D272</f>
        <v>57.072735385988395</v>
      </c>
      <c r="G272" s="15">
        <f t="shared" si="93"/>
        <v>199948.224</v>
      </c>
      <c r="H272" s="15">
        <f t="shared" si="102"/>
        <v>119934.288</v>
      </c>
      <c r="I272" s="15">
        <f t="shared" si="94"/>
        <v>319882.512</v>
      </c>
      <c r="J272" s="26">
        <f t="shared" si="95"/>
        <v>62.506769360370654</v>
      </c>
      <c r="K272" s="26">
        <f t="shared" si="96"/>
        <v>37.493230639629346</v>
      </c>
      <c r="L272" s="12">
        <f t="shared" si="107"/>
        <v>20.784638669438667</v>
      </c>
      <c r="M272" s="12">
        <f t="shared" si="107"/>
        <v>9.377192181391713</v>
      </c>
      <c r="N272" s="12">
        <f t="shared" si="107"/>
        <v>14.274096921017403</v>
      </c>
      <c r="O272" s="15">
        <f t="shared" si="103"/>
        <v>199948.224</v>
      </c>
      <c r="P272" s="15">
        <f t="shared" si="104"/>
        <v>140895.36</v>
      </c>
      <c r="Q272" s="15">
        <f t="shared" si="97"/>
        <v>340843.584</v>
      </c>
      <c r="R272" s="26">
        <f t="shared" si="105"/>
        <v>58.66275129884798</v>
      </c>
      <c r="S272" s="26">
        <f t="shared" si="105"/>
        <v>41.33724870115202</v>
      </c>
      <c r="T272" s="62">
        <f>J272/1.083</f>
        <v>57.71631519886487</v>
      </c>
      <c r="U272" s="62">
        <f t="shared" si="98"/>
        <v>89.34828530549905</v>
      </c>
      <c r="V272" s="62">
        <f t="shared" si="99"/>
        <v>74.31568031150579</v>
      </c>
      <c r="W272" s="62">
        <f t="shared" si="99"/>
        <v>51.45398899836065</v>
      </c>
      <c r="X272" s="62">
        <f t="shared" si="99"/>
        <v>46.73564628067119</v>
      </c>
      <c r="Y272" s="62">
        <f t="shared" si="99"/>
        <v>51.97432223362844</v>
      </c>
      <c r="Z272" s="62">
        <f t="shared" si="100"/>
        <v>75.91837402843333</v>
      </c>
      <c r="AA272" s="62">
        <f t="shared" si="101"/>
        <v>57.25695047185812</v>
      </c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</row>
    <row r="273" spans="1:129" ht="12.75">
      <c r="A273" s="13">
        <v>1867</v>
      </c>
      <c r="B273" s="15">
        <v>1554000</v>
      </c>
      <c r="C273" s="15">
        <v>1767000</v>
      </c>
      <c r="D273" s="15">
        <v>3322000</v>
      </c>
      <c r="E273" s="26">
        <f t="shared" si="106"/>
        <v>46.77904876580373</v>
      </c>
      <c r="F273" s="26">
        <f t="shared" si="106"/>
        <v>53.190848886213125</v>
      </c>
      <c r="G273" s="15">
        <f t="shared" si="93"/>
        <v>355544.237</v>
      </c>
      <c r="H273" s="15">
        <f t="shared" si="102"/>
        <v>225026.92899999995</v>
      </c>
      <c r="I273" s="15">
        <f t="shared" si="94"/>
        <v>580571.166</v>
      </c>
      <c r="J273" s="26">
        <f t="shared" si="95"/>
        <v>61.24042284938416</v>
      </c>
      <c r="K273" s="26">
        <f t="shared" si="96"/>
        <v>38.75957715061584</v>
      </c>
      <c r="L273" s="12">
        <f t="shared" si="107"/>
        <v>22.879294530244533</v>
      </c>
      <c r="M273" s="12">
        <f t="shared" si="107"/>
        <v>12.734970514997167</v>
      </c>
      <c r="N273" s="12">
        <f t="shared" si="107"/>
        <v>17.476555267910896</v>
      </c>
      <c r="O273" s="15">
        <f t="shared" si="103"/>
        <v>355544.237</v>
      </c>
      <c r="P273" s="15">
        <f t="shared" si="104"/>
        <v>274632.51499999996</v>
      </c>
      <c r="Q273" s="15">
        <f t="shared" si="97"/>
        <v>630176.752</v>
      </c>
      <c r="R273" s="26">
        <f t="shared" si="105"/>
        <v>56.4197641172266</v>
      </c>
      <c r="S273" s="26">
        <f t="shared" si="105"/>
        <v>43.58023588277341</v>
      </c>
      <c r="T273" s="62">
        <f>J273/1.083</f>
        <v>56.54702017486996</v>
      </c>
      <c r="U273" s="62">
        <f t="shared" si="98"/>
        <v>85.63792853512749</v>
      </c>
      <c r="V273" s="62">
        <f t="shared" si="99"/>
        <v>67.25860144453357</v>
      </c>
      <c r="W273" s="62">
        <f t="shared" si="99"/>
        <v>54.799810940401784</v>
      </c>
      <c r="X273" s="62">
        <f t="shared" si="99"/>
        <v>51.0543052783548</v>
      </c>
      <c r="Y273" s="62">
        <f t="shared" si="99"/>
        <v>51.05880999226894</v>
      </c>
      <c r="Z273" s="62">
        <f t="shared" si="100"/>
        <v>59.99718141576067</v>
      </c>
      <c r="AA273" s="62">
        <f t="shared" si="101"/>
        <v>54.14843590821931</v>
      </c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</row>
    <row r="274" spans="1:129" ht="12.75">
      <c r="A274" s="13">
        <v>1877</v>
      </c>
      <c r="B274" s="15">
        <v>2041000</v>
      </c>
      <c r="C274" s="15">
        <v>2397000</v>
      </c>
      <c r="D274" s="15">
        <v>4438000</v>
      </c>
      <c r="E274" s="26">
        <f t="shared" si="106"/>
        <v>45.989184317260026</v>
      </c>
      <c r="F274" s="26">
        <f t="shared" si="106"/>
        <v>54.010815682739974</v>
      </c>
      <c r="G274" s="15">
        <f t="shared" si="93"/>
        <v>563712.653</v>
      </c>
      <c r="H274" s="15">
        <f>I274-G274</f>
        <v>262417.463</v>
      </c>
      <c r="I274" s="15">
        <f t="shared" si="94"/>
        <v>826130.116</v>
      </c>
      <c r="J274" s="26">
        <f>100*G274/($G274+$H274)</f>
        <v>68.23533509823046</v>
      </c>
      <c r="K274" s="26">
        <f>100*H274/($G274+$H274)</f>
        <v>31.764664901769535</v>
      </c>
      <c r="L274" s="12">
        <f aca="true" t="shared" si="108" ref="L274:N275">100*G274/B274</f>
        <v>27.619434247917688</v>
      </c>
      <c r="M274" s="12">
        <f t="shared" si="108"/>
        <v>10.947745640383811</v>
      </c>
      <c r="N274" s="12">
        <f t="shared" si="108"/>
        <v>18.61491924290221</v>
      </c>
      <c r="O274" s="15">
        <f>G274</f>
        <v>563712.653</v>
      </c>
      <c r="P274" s="15">
        <f>Q274-O274</f>
        <v>-563712.653</v>
      </c>
      <c r="Q274" s="15">
        <f>C62*M62/1000</f>
        <v>0</v>
      </c>
      <c r="R274" s="26" t="e">
        <f>100*O274/$Q274</f>
        <v>#DIV/0!</v>
      </c>
      <c r="S274" s="26" t="e">
        <f>100*P274/$Q274</f>
        <v>#DIV/0!</v>
      </c>
      <c r="T274" s="62">
        <f>J274</f>
        <v>68.23533509823046</v>
      </c>
      <c r="U274" s="62">
        <f>J330</f>
        <v>91.47906348491671</v>
      </c>
      <c r="V274" s="62">
        <f aca="true" t="shared" si="109" ref="V274:Y276">D330</f>
        <v>72.37988072465399</v>
      </c>
      <c r="W274" s="62">
        <f t="shared" si="109"/>
        <v>62.57234207093967</v>
      </c>
      <c r="X274" s="62">
        <f t="shared" si="109"/>
        <v>62.3310230866496</v>
      </c>
      <c r="Y274" s="62">
        <f t="shared" si="109"/>
        <v>58.85679091367778</v>
      </c>
      <c r="Z274" s="62">
        <f>H306</f>
        <v>81.68873463457336</v>
      </c>
      <c r="AA274" s="62">
        <f>F306</f>
        <v>69.31541230279534</v>
      </c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</row>
    <row r="275" spans="1:129" ht="12.75">
      <c r="A275" s="13">
        <v>1887</v>
      </c>
      <c r="B275" s="15">
        <f>1177000+1472000</f>
        <v>2649000</v>
      </c>
      <c r="C275" s="15">
        <v>2760000</v>
      </c>
      <c r="D275" s="15">
        <v>5409000</v>
      </c>
      <c r="E275" s="26">
        <f t="shared" si="106"/>
        <v>48.97393233499723</v>
      </c>
      <c r="F275" s="26">
        <f t="shared" si="106"/>
        <v>51.02606766500277</v>
      </c>
      <c r="G275" s="15">
        <f t="shared" si="93"/>
        <v>756112.903</v>
      </c>
      <c r="H275" s="15">
        <f>I275-G275</f>
        <v>328934.74899999995</v>
      </c>
      <c r="I275" s="15">
        <f t="shared" si="94"/>
        <v>1085047.652</v>
      </c>
      <c r="J275" s="26">
        <f>100*G275/($G275+$H275)</f>
        <v>69.68476468349614</v>
      </c>
      <c r="K275" s="26">
        <f>100*H275/($G275+$H275)</f>
        <v>30.315235316503863</v>
      </c>
      <c r="L275" s="12">
        <f t="shared" si="108"/>
        <v>28.54333344658362</v>
      </c>
      <c r="M275" s="12">
        <f t="shared" si="108"/>
        <v>11.917925688405795</v>
      </c>
      <c r="N275" s="12">
        <f t="shared" si="108"/>
        <v>20.060041634313183</v>
      </c>
      <c r="O275" s="15">
        <f>G275</f>
        <v>756112.903</v>
      </c>
      <c r="P275" s="15">
        <f>Q275-O275</f>
        <v>-756112.903</v>
      </c>
      <c r="Q275" s="15">
        <f>C63*M63/1000</f>
        <v>0</v>
      </c>
      <c r="R275" s="26" t="e">
        <f>100*O275/$Q275</f>
        <v>#DIV/0!</v>
      </c>
      <c r="S275" s="26" t="e">
        <f>100*P275/$Q275</f>
        <v>#DIV/0!</v>
      </c>
      <c r="T275" s="62">
        <f>J275</f>
        <v>69.68476468349614</v>
      </c>
      <c r="U275" s="62">
        <f>J331</f>
        <v>91.90160008707956</v>
      </c>
      <c r="V275" s="62">
        <f t="shared" si="109"/>
        <v>73.15868002402775</v>
      </c>
      <c r="W275" s="62">
        <f t="shared" si="109"/>
        <v>64.52810366625727</v>
      </c>
      <c r="X275" s="62">
        <f t="shared" si="109"/>
        <v>60.934561361395886</v>
      </c>
      <c r="Y275" s="62">
        <f t="shared" si="109"/>
        <v>66.29791573725207</v>
      </c>
      <c r="Z275" s="62">
        <f>H307</f>
        <v>81.74495615442764</v>
      </c>
      <c r="AA275" s="62">
        <f>F307</f>
        <v>70.96623940123402</v>
      </c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</row>
    <row r="276" spans="1:129" ht="12.75">
      <c r="A276" s="13">
        <v>1902</v>
      </c>
      <c r="B276" s="15">
        <f>E276*$D276/100</f>
        <v>2939024.3902439023</v>
      </c>
      <c r="C276" s="15">
        <f>F276*$D276/100</f>
        <v>2435975.6097560977</v>
      </c>
      <c r="D276" s="15">
        <f>G19</f>
        <v>5375000</v>
      </c>
      <c r="E276" s="26">
        <v>54.67952353942144</v>
      </c>
      <c r="F276" s="26">
        <v>45.32047646057856</v>
      </c>
      <c r="G276" s="15">
        <f t="shared" si="93"/>
        <v>969844.854</v>
      </c>
      <c r="H276" s="15">
        <f t="shared" si="102"/>
        <v>399880.53599999985</v>
      </c>
      <c r="I276" s="15">
        <f>G64</f>
        <v>1369725.39</v>
      </c>
      <c r="J276" s="26">
        <f t="shared" si="95"/>
        <v>70.80578786671978</v>
      </c>
      <c r="K276" s="26">
        <f t="shared" si="96"/>
        <v>29.194212133280224</v>
      </c>
      <c r="L276" s="12">
        <f t="shared" si="107"/>
        <v>32.99887055103735</v>
      </c>
      <c r="M276" s="12">
        <f t="shared" si="107"/>
        <v>16.415621502878594</v>
      </c>
      <c r="N276" s="12">
        <f t="shared" si="107"/>
        <v>25.483263069767442</v>
      </c>
      <c r="O276" s="15">
        <f t="shared" si="103"/>
        <v>969844.854</v>
      </c>
      <c r="P276" s="15">
        <f t="shared" si="104"/>
        <v>-969844.854</v>
      </c>
      <c r="Q276" s="15">
        <f>C64*M64/1000</f>
        <v>0</v>
      </c>
      <c r="R276" s="26" t="e">
        <f t="shared" si="105"/>
        <v>#DIV/0!</v>
      </c>
      <c r="S276" s="26" t="e">
        <f t="shared" si="105"/>
        <v>#DIV/0!</v>
      </c>
      <c r="T276" s="62">
        <f>J276</f>
        <v>70.80578786671978</v>
      </c>
      <c r="U276" s="62">
        <f>J332</f>
        <v>88.64717223650386</v>
      </c>
      <c r="V276" s="62">
        <f t="shared" si="109"/>
        <v>79.72937435750316</v>
      </c>
      <c r="W276" s="62">
        <f t="shared" si="109"/>
        <v>68.81811877212833</v>
      </c>
      <c r="X276" s="62">
        <f t="shared" si="109"/>
        <v>64.03383965361046</v>
      </c>
      <c r="Y276" s="62">
        <f t="shared" si="109"/>
        <v>60.91290278948299</v>
      </c>
      <c r="Z276" s="62">
        <f>H308</f>
        <v>81.72913606387894</v>
      </c>
      <c r="AA276" s="62">
        <f>F308</f>
        <v>70.41334647860316</v>
      </c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</row>
    <row r="277" ht="12.75">
      <c r="A277" s="13"/>
    </row>
    <row r="278" ht="12.75">
      <c r="A278" s="20" t="s">
        <v>249</v>
      </c>
    </row>
    <row r="279" ht="12.75">
      <c r="A279" s="20" t="s">
        <v>250</v>
      </c>
    </row>
    <row r="280" ht="12.75">
      <c r="A280" s="20" t="s">
        <v>251</v>
      </c>
    </row>
    <row r="281" ht="12.75">
      <c r="A281" s="20" t="s">
        <v>252</v>
      </c>
    </row>
    <row r="282" ht="12.75">
      <c r="A282" s="20" t="s">
        <v>253</v>
      </c>
    </row>
    <row r="283" ht="12.75">
      <c r="A283" s="20"/>
    </row>
    <row r="284" ht="12.75">
      <c r="A284" s="20"/>
    </row>
    <row r="285" ht="12.75">
      <c r="A285" s="1" t="s">
        <v>99</v>
      </c>
    </row>
    <row r="286" spans="1:9" ht="12.75">
      <c r="A286" s="25" t="s">
        <v>254</v>
      </c>
      <c r="B286" s="13" t="s">
        <v>61</v>
      </c>
      <c r="C286" s="13" t="s">
        <v>50</v>
      </c>
      <c r="D286" s="13" t="s">
        <v>51</v>
      </c>
      <c r="E286" s="13" t="s">
        <v>52</v>
      </c>
      <c r="F286" s="13" t="s">
        <v>53</v>
      </c>
      <c r="G286" s="13" t="s">
        <v>54</v>
      </c>
      <c r="H286" s="13" t="s">
        <v>55</v>
      </c>
      <c r="I286" s="13" t="s">
        <v>56</v>
      </c>
    </row>
    <row r="287" spans="1:9" ht="12.75">
      <c r="A287" s="13">
        <v>1807</v>
      </c>
      <c r="B287" s="11">
        <v>3551</v>
      </c>
      <c r="C287" s="11">
        <v>17649</v>
      </c>
      <c r="D287" s="11">
        <v>33414</v>
      </c>
      <c r="E287" s="11">
        <v>58872</v>
      </c>
      <c r="F287" s="11">
        <v>186562</v>
      </c>
      <c r="G287" s="11">
        <v>295340</v>
      </c>
      <c r="H287" s="11">
        <v>818553</v>
      </c>
      <c r="I287" s="11">
        <v>2959663</v>
      </c>
    </row>
    <row r="288" spans="1:9" ht="12.75">
      <c r="A288" s="13">
        <v>1817</v>
      </c>
      <c r="B288" s="11">
        <v>3054</v>
      </c>
      <c r="C288" s="11">
        <v>15238</v>
      </c>
      <c r="D288" s="11">
        <v>29459</v>
      </c>
      <c r="E288" s="11">
        <v>52869</v>
      </c>
      <c r="F288" s="11">
        <v>168432</v>
      </c>
      <c r="G288" s="11">
        <v>268542</v>
      </c>
      <c r="H288" s="11">
        <v>724903</v>
      </c>
      <c r="I288" s="11">
        <v>1467599</v>
      </c>
    </row>
    <row r="289" spans="1:9" ht="12.75">
      <c r="A289" s="13">
        <v>1827</v>
      </c>
      <c r="B289" s="11">
        <v>5451</v>
      </c>
      <c r="C289" s="11">
        <v>27202</v>
      </c>
      <c r="D289" s="11">
        <v>52385</v>
      </c>
      <c r="E289" s="11">
        <v>92700</v>
      </c>
      <c r="F289" s="11">
        <v>280483</v>
      </c>
      <c r="G289" s="11">
        <v>409002</v>
      </c>
      <c r="H289" s="11">
        <v>1060367</v>
      </c>
      <c r="I289" s="11">
        <v>2244819</v>
      </c>
    </row>
    <row r="290" spans="1:9" ht="12.75">
      <c r="A290" s="13">
        <v>1837</v>
      </c>
      <c r="B290" s="11">
        <v>5147</v>
      </c>
      <c r="C290" s="11">
        <v>25664</v>
      </c>
      <c r="D290" s="11">
        <v>49354</v>
      </c>
      <c r="E290" s="11">
        <v>86270</v>
      </c>
      <c r="F290" s="11">
        <v>242109</v>
      </c>
      <c r="G290" s="11">
        <v>355549</v>
      </c>
      <c r="H290" s="11">
        <v>765657</v>
      </c>
      <c r="I290" s="11">
        <v>1415931</v>
      </c>
    </row>
    <row r="291" spans="1:9" ht="12.75">
      <c r="A291" s="13">
        <v>1847</v>
      </c>
      <c r="B291" s="11">
        <v>7535</v>
      </c>
      <c r="C291" s="11">
        <v>37634</v>
      </c>
      <c r="D291" s="11">
        <v>73158</v>
      </c>
      <c r="E291" s="11">
        <v>131686</v>
      </c>
      <c r="F291" s="11">
        <v>413396</v>
      </c>
      <c r="G291" s="11">
        <v>634433</v>
      </c>
      <c r="H291" s="11">
        <v>1909928</v>
      </c>
      <c r="I291" s="11">
        <v>6299141</v>
      </c>
    </row>
    <row r="292" spans="1:9" ht="12.75">
      <c r="A292" s="13">
        <v>1857</v>
      </c>
      <c r="B292" s="11">
        <v>10388</v>
      </c>
      <c r="C292" s="11">
        <v>51718</v>
      </c>
      <c r="D292" s="11">
        <v>98873</v>
      </c>
      <c r="E292" s="11">
        <v>173650</v>
      </c>
      <c r="F292" s="11">
        <v>525892</v>
      </c>
      <c r="G292" s="11">
        <v>791704</v>
      </c>
      <c r="H292" s="11">
        <v>1824212</v>
      </c>
      <c r="I292" s="11">
        <v>4040818</v>
      </c>
    </row>
    <row r="293" spans="1:9" ht="12.75">
      <c r="A293" s="13">
        <v>1867</v>
      </c>
      <c r="B293" s="11">
        <v>12629</v>
      </c>
      <c r="C293" s="11">
        <v>62940</v>
      </c>
      <c r="D293" s="11">
        <v>120186</v>
      </c>
      <c r="E293" s="11">
        <v>214417</v>
      </c>
      <c r="F293" s="11">
        <v>633781</v>
      </c>
      <c r="G293" s="11">
        <v>939075</v>
      </c>
      <c r="H293" s="11">
        <v>2140340</v>
      </c>
      <c r="I293" s="11">
        <v>7371791</v>
      </c>
    </row>
    <row r="294" spans="1:9" ht="12.75">
      <c r="A294" s="13">
        <v>1877</v>
      </c>
      <c r="B294" s="11">
        <v>19589</v>
      </c>
      <c r="C294" s="11">
        <v>97645</v>
      </c>
      <c r="D294" s="11">
        <v>187739</v>
      </c>
      <c r="E294" s="11">
        <v>343317</v>
      </c>
      <c r="F294" s="11">
        <v>1173756</v>
      </c>
      <c r="G294" s="11">
        <v>1900900</v>
      </c>
      <c r="H294" s="11">
        <v>5770685</v>
      </c>
      <c r="I294" s="11">
        <v>27585230</v>
      </c>
    </row>
    <row r="295" spans="1:9" ht="12.75">
      <c r="A295" s="13">
        <v>1887</v>
      </c>
      <c r="B295" s="11">
        <v>21973</v>
      </c>
      <c r="C295" s="11">
        <v>109588</v>
      </c>
      <c r="D295" s="11">
        <v>211231</v>
      </c>
      <c r="E295" s="11">
        <v>384708</v>
      </c>
      <c r="F295" s="11">
        <v>1241719</v>
      </c>
      <c r="G295" s="11">
        <v>1956356</v>
      </c>
      <c r="H295" s="11">
        <v>5183079</v>
      </c>
      <c r="I295" s="11">
        <v>19242980</v>
      </c>
    </row>
    <row r="296" spans="1:9" ht="12.75">
      <c r="A296" s="13">
        <v>1902</v>
      </c>
      <c r="B296" s="11">
        <v>26669</v>
      </c>
      <c r="C296" s="11">
        <v>133161</v>
      </c>
      <c r="D296" s="11">
        <v>261147</v>
      </c>
      <c r="E296" s="11">
        <v>488818</v>
      </c>
      <c r="F296" s="11">
        <v>1689100</v>
      </c>
      <c r="G296" s="11">
        <v>2711667</v>
      </c>
      <c r="H296" s="11">
        <v>7889526</v>
      </c>
      <c r="I296" s="11">
        <v>27820790</v>
      </c>
    </row>
    <row r="298" spans="1:9" ht="12.75">
      <c r="A298" t="s">
        <v>255</v>
      </c>
      <c r="B298" s="13" t="s">
        <v>61</v>
      </c>
      <c r="C298" s="13" t="s">
        <v>50</v>
      </c>
      <c r="D298" s="13" t="s">
        <v>51</v>
      </c>
      <c r="E298" s="13" t="s">
        <v>52</v>
      </c>
      <c r="F298" s="13" t="s">
        <v>53</v>
      </c>
      <c r="G298" s="13" t="s">
        <v>54</v>
      </c>
      <c r="H298" s="13" t="s">
        <v>55</v>
      </c>
      <c r="I298" s="13" t="s">
        <v>56</v>
      </c>
    </row>
    <row r="299" spans="1:9" ht="12.75">
      <c r="A299" s="13">
        <v>1807</v>
      </c>
      <c r="B299" s="22">
        <f aca="true" t="shared" si="110" ref="B299:I308">100*B287/B153</f>
        <v>63.07551298812027</v>
      </c>
      <c r="C299" s="22">
        <f t="shared" si="110"/>
        <v>62.94222539229672</v>
      </c>
      <c r="D299" s="22">
        <f t="shared" si="110"/>
        <v>61.869757624011704</v>
      </c>
      <c r="E299" s="22">
        <f t="shared" si="110"/>
        <v>60.97376570381034</v>
      </c>
      <c r="F299" s="22">
        <f t="shared" si="110"/>
        <v>64.78859544025977</v>
      </c>
      <c r="G299" s="22">
        <f t="shared" si="110"/>
        <v>67.52897545003692</v>
      </c>
      <c r="H299" s="22">
        <f t="shared" si="110"/>
        <v>80.47467645080991</v>
      </c>
      <c r="I299" s="22">
        <f t="shared" si="110"/>
        <v>98.14286585923915</v>
      </c>
    </row>
    <row r="300" spans="1:9" ht="12.75">
      <c r="A300" s="13">
        <v>1817</v>
      </c>
      <c r="B300" s="22">
        <f t="shared" si="110"/>
        <v>58.67912032044102</v>
      </c>
      <c r="C300" s="22">
        <f t="shared" si="110"/>
        <v>58.63475450207788</v>
      </c>
      <c r="D300" s="22">
        <f t="shared" si="110"/>
        <v>57.83986491792979</v>
      </c>
      <c r="E300" s="22">
        <f t="shared" si="110"/>
        <v>56.611592371692595</v>
      </c>
      <c r="F300" s="22">
        <f t="shared" si="110"/>
        <v>57.114179529609636</v>
      </c>
      <c r="G300" s="22">
        <f t="shared" si="110"/>
        <v>60.47575830595272</v>
      </c>
      <c r="H300" s="22">
        <f t="shared" si="110"/>
        <v>75.99209157171626</v>
      </c>
      <c r="I300" s="22">
        <f t="shared" si="110"/>
        <v>84.83285153836238</v>
      </c>
    </row>
    <row r="301" spans="1:9" ht="12.75">
      <c r="A301" s="13">
        <v>1827</v>
      </c>
      <c r="B301" s="22">
        <f t="shared" si="110"/>
        <v>59.53556362517956</v>
      </c>
      <c r="C301" s="22">
        <f t="shared" si="110"/>
        <v>59.496937882764655</v>
      </c>
      <c r="D301" s="22">
        <f t="shared" si="110"/>
        <v>58.65852975757237</v>
      </c>
      <c r="E301" s="22">
        <f t="shared" si="110"/>
        <v>56.924248378856355</v>
      </c>
      <c r="F301" s="22">
        <f t="shared" si="110"/>
        <v>58.63000240387128</v>
      </c>
      <c r="G301" s="22">
        <f t="shared" si="110"/>
        <v>58.58385328039327</v>
      </c>
      <c r="H301" s="22">
        <f t="shared" si="110"/>
        <v>68.56865906076636</v>
      </c>
      <c r="I301" s="22">
        <f t="shared" si="110"/>
        <v>64.75154889828399</v>
      </c>
    </row>
    <row r="302" spans="1:9" ht="12.75">
      <c r="A302" s="13">
        <v>1837</v>
      </c>
      <c r="B302" s="22">
        <f t="shared" si="110"/>
        <v>52.96357275159498</v>
      </c>
      <c r="C302" s="22">
        <f t="shared" si="110"/>
        <v>52.89801302663039</v>
      </c>
      <c r="D302" s="22">
        <f t="shared" si="110"/>
        <v>51.980031174958924</v>
      </c>
      <c r="E302" s="22">
        <f t="shared" si="110"/>
        <v>49.97132745208209</v>
      </c>
      <c r="F302" s="22">
        <f t="shared" si="110"/>
        <v>49.79566232350552</v>
      </c>
      <c r="G302" s="22">
        <f t="shared" si="110"/>
        <v>50.76421380567767</v>
      </c>
      <c r="H302" s="22">
        <f t="shared" si="110"/>
        <v>53.39231433849295</v>
      </c>
      <c r="I302" s="22">
        <f t="shared" si="110"/>
        <v>52.938313017514986</v>
      </c>
    </row>
    <row r="303" spans="1:9" ht="12.75">
      <c r="A303" s="13">
        <v>1847</v>
      </c>
      <c r="B303" s="22">
        <f t="shared" si="110"/>
        <v>57.95708022459811</v>
      </c>
      <c r="C303" s="22">
        <f t="shared" si="110"/>
        <v>57.93232966965303</v>
      </c>
      <c r="D303" s="22">
        <f t="shared" si="110"/>
        <v>57.25309125058695</v>
      </c>
      <c r="E303" s="22">
        <f t="shared" si="110"/>
        <v>55.82730275011552</v>
      </c>
      <c r="F303" s="22">
        <f t="shared" si="110"/>
        <v>56.994902946419586</v>
      </c>
      <c r="G303" s="22">
        <f t="shared" si="110"/>
        <v>58.38537496663998</v>
      </c>
      <c r="H303" s="22">
        <f t="shared" si="110"/>
        <v>68.8568041739612</v>
      </c>
      <c r="I303" s="22">
        <f t="shared" si="110"/>
        <v>66.6501640928612</v>
      </c>
    </row>
    <row r="304" spans="1:9" ht="12.75">
      <c r="A304" s="13">
        <v>1857</v>
      </c>
      <c r="B304" s="22">
        <f t="shared" si="110"/>
        <v>62.50676936037066</v>
      </c>
      <c r="C304" s="22">
        <f t="shared" si="110"/>
        <v>62.4116042767842</v>
      </c>
      <c r="D304" s="22">
        <f t="shared" si="110"/>
        <v>61.41065694428054</v>
      </c>
      <c r="E304" s="22">
        <f t="shared" si="110"/>
        <v>59.43579633356608</v>
      </c>
      <c r="F304" s="22">
        <f t="shared" si="110"/>
        <v>62.00927736102235</v>
      </c>
      <c r="G304" s="22">
        <f t="shared" si="110"/>
        <v>66.65308411026118</v>
      </c>
      <c r="H304" s="22">
        <f t="shared" si="110"/>
        <v>82.2195990727933</v>
      </c>
      <c r="I304" s="22">
        <f t="shared" si="110"/>
        <v>100</v>
      </c>
    </row>
    <row r="305" spans="1:9" ht="12.75">
      <c r="A305" s="13">
        <v>1867</v>
      </c>
      <c r="B305" s="22">
        <f t="shared" si="110"/>
        <v>61.24042284938415</v>
      </c>
      <c r="C305" s="22">
        <f t="shared" si="110"/>
        <v>61.16618075801749</v>
      </c>
      <c r="D305" s="22">
        <f t="shared" si="110"/>
        <v>60.207997274794856</v>
      </c>
      <c r="E305" s="22">
        <f t="shared" si="110"/>
        <v>58.96976114189849</v>
      </c>
      <c r="F305" s="22">
        <f t="shared" si="110"/>
        <v>58.642756088601516</v>
      </c>
      <c r="G305" s="22">
        <f t="shared" si="110"/>
        <v>59.91287488013597</v>
      </c>
      <c r="H305" s="22">
        <f t="shared" si="110"/>
        <v>64.97694747326881</v>
      </c>
      <c r="I305" s="22">
        <f t="shared" si="110"/>
        <v>90.2540272349126</v>
      </c>
    </row>
    <row r="306" spans="1:9" ht="12.75">
      <c r="A306" s="13">
        <v>1877</v>
      </c>
      <c r="B306" s="22">
        <f t="shared" si="110"/>
        <v>68.23533509823046</v>
      </c>
      <c r="C306" s="22">
        <f t="shared" si="110"/>
        <v>68.17118720983</v>
      </c>
      <c r="D306" s="22">
        <f t="shared" si="110"/>
        <v>67.48589093784824</v>
      </c>
      <c r="E306" s="22">
        <f t="shared" si="110"/>
        <v>67.06130541366748</v>
      </c>
      <c r="F306" s="22">
        <f t="shared" si="110"/>
        <v>69.31541230279534</v>
      </c>
      <c r="G306" s="22">
        <f t="shared" si="110"/>
        <v>71.18963729949007</v>
      </c>
      <c r="H306" s="22">
        <f t="shared" si="110"/>
        <v>81.68873463457336</v>
      </c>
      <c r="I306" s="22">
        <f t="shared" si="110"/>
        <v>89.15573439343255</v>
      </c>
    </row>
    <row r="307" spans="1:9" ht="12.75">
      <c r="A307" s="13">
        <v>1887</v>
      </c>
      <c r="B307" s="22">
        <f t="shared" si="110"/>
        <v>69.68476468349613</v>
      </c>
      <c r="C307" s="22">
        <f t="shared" si="110"/>
        <v>69.63539085236444</v>
      </c>
      <c r="D307" s="22">
        <f t="shared" si="110"/>
        <v>69.01778450137721</v>
      </c>
      <c r="E307" s="22">
        <f t="shared" si="110"/>
        <v>68.6366969432595</v>
      </c>
      <c r="F307" s="22">
        <f t="shared" si="110"/>
        <v>70.96623940123402</v>
      </c>
      <c r="G307" s="22">
        <f t="shared" si="110"/>
        <v>74.0683136926482</v>
      </c>
      <c r="H307" s="22">
        <f t="shared" si="110"/>
        <v>81.74495615442764</v>
      </c>
      <c r="I307" s="22">
        <f t="shared" si="110"/>
        <v>96.41814945905969</v>
      </c>
    </row>
    <row r="308" spans="1:9" ht="12.75">
      <c r="A308" s="13">
        <v>1902</v>
      </c>
      <c r="B308" s="22">
        <f t="shared" si="110"/>
        <v>70.80578786671977</v>
      </c>
      <c r="C308" s="22">
        <f t="shared" si="110"/>
        <v>70.78325581395349</v>
      </c>
      <c r="D308" s="22">
        <f t="shared" si="110"/>
        <v>70.50671461664318</v>
      </c>
      <c r="E308" s="22">
        <f t="shared" si="110"/>
        <v>69.93674734563477</v>
      </c>
      <c r="F308" s="22">
        <f t="shared" si="110"/>
        <v>70.41334647860316</v>
      </c>
      <c r="G308" s="22">
        <f t="shared" si="110"/>
        <v>72.18098250061689</v>
      </c>
      <c r="H308" s="22">
        <f t="shared" si="110"/>
        <v>81.72913606387894</v>
      </c>
      <c r="I308" s="22">
        <f t="shared" si="110"/>
        <v>90.70519821881176</v>
      </c>
    </row>
    <row r="309" spans="1:9" ht="12.75">
      <c r="A309" s="13"/>
      <c r="B309" s="22"/>
      <c r="C309" s="22"/>
      <c r="D309" s="22"/>
      <c r="E309" s="22"/>
      <c r="F309" s="22"/>
      <c r="G309" s="22"/>
      <c r="H309" s="22"/>
      <c r="I309" s="22"/>
    </row>
    <row r="310" spans="1:10" ht="12.75">
      <c r="A310" s="25" t="s">
        <v>254</v>
      </c>
      <c r="B310" s="13" t="s">
        <v>62</v>
      </c>
      <c r="C310" s="13" t="s">
        <v>63</v>
      </c>
      <c r="D310" s="13" t="s">
        <v>64</v>
      </c>
      <c r="E310" s="13" t="s">
        <v>65</v>
      </c>
      <c r="F310" s="13" t="s">
        <v>66</v>
      </c>
      <c r="G310" s="13" t="s">
        <v>67</v>
      </c>
      <c r="H310" s="13" t="s">
        <v>68</v>
      </c>
      <c r="I310" s="13" t="s">
        <v>56</v>
      </c>
      <c r="J310" s="13" t="s">
        <v>376</v>
      </c>
    </row>
    <row r="311" spans="1:10" ht="12.75">
      <c r="A311" s="13">
        <v>1807</v>
      </c>
      <c r="B311" s="11">
        <v>25</v>
      </c>
      <c r="C311" s="11">
        <v>1870</v>
      </c>
      <c r="D311" s="11">
        <v>7911</v>
      </c>
      <c r="E311" s="11">
        <v>26744</v>
      </c>
      <c r="F311" s="11">
        <v>75909</v>
      </c>
      <c r="G311" s="11">
        <v>161753</v>
      </c>
      <c r="H311" s="11">
        <v>390331</v>
      </c>
      <c r="I311" s="11">
        <f aca="true" t="shared" si="111" ref="I311:I320">I287</f>
        <v>2959663</v>
      </c>
      <c r="J311" s="4">
        <f>(80*B311+10*C311)/90</f>
        <v>230</v>
      </c>
    </row>
    <row r="312" spans="1:10" ht="12.75">
      <c r="A312" s="13">
        <v>1817</v>
      </c>
      <c r="B312" s="11">
        <v>6</v>
      </c>
      <c r="C312" s="11">
        <v>1018</v>
      </c>
      <c r="D312" s="11">
        <v>6004</v>
      </c>
      <c r="E312" s="11">
        <v>23796</v>
      </c>
      <c r="F312" s="11">
        <v>68321</v>
      </c>
      <c r="G312" s="11">
        <v>154452</v>
      </c>
      <c r="H312" s="11">
        <v>576363</v>
      </c>
      <c r="I312" s="11">
        <f t="shared" si="111"/>
        <v>1467599</v>
      </c>
      <c r="J312" s="4">
        <f aca="true" t="shared" si="112" ref="J312:J320">(80*B312+10*C312)/90</f>
        <v>118.44444444444444</v>
      </c>
    </row>
    <row r="313" spans="1:10" ht="12.75">
      <c r="A313" s="13">
        <v>1827</v>
      </c>
      <c r="B313" s="11">
        <v>11.53</v>
      </c>
      <c r="C313" s="11">
        <v>2001</v>
      </c>
      <c r="D313" s="11">
        <v>12071</v>
      </c>
      <c r="E313" s="11">
        <v>45588</v>
      </c>
      <c r="F313" s="11">
        <v>151963</v>
      </c>
      <c r="G313" s="11">
        <v>234530</v>
      </c>
      <c r="H313" s="11">
        <v>878144</v>
      </c>
      <c r="I313" s="11">
        <f t="shared" si="111"/>
        <v>2244819</v>
      </c>
      <c r="J313" s="4">
        <f t="shared" si="112"/>
        <v>232.58222222222224</v>
      </c>
    </row>
    <row r="314" spans="1:10" ht="12.75">
      <c r="A314" s="13">
        <v>1837</v>
      </c>
      <c r="B314" s="11">
        <v>16</v>
      </c>
      <c r="C314" s="11">
        <v>1961</v>
      </c>
      <c r="D314" s="11">
        <v>12394</v>
      </c>
      <c r="E314" s="11">
        <v>47079</v>
      </c>
      <c r="F314" s="11">
        <v>128668</v>
      </c>
      <c r="G314" s="11">
        <v>253023</v>
      </c>
      <c r="H314" s="11">
        <v>678953</v>
      </c>
      <c r="I314" s="11">
        <f t="shared" si="111"/>
        <v>1415931</v>
      </c>
      <c r="J314" s="4">
        <f t="shared" si="112"/>
        <v>232.11111111111111</v>
      </c>
    </row>
    <row r="315" spans="1:10" ht="12.75">
      <c r="A315" s="13">
        <v>1847</v>
      </c>
      <c r="B315" s="11">
        <v>9.86</v>
      </c>
      <c r="C315" s="11">
        <v>2108</v>
      </c>
      <c r="D315" s="11">
        <v>14566</v>
      </c>
      <c r="E315" s="11">
        <v>61161</v>
      </c>
      <c r="F315" s="11">
        <v>192358</v>
      </c>
      <c r="G315" s="11">
        <v>297844</v>
      </c>
      <c r="H315" s="11">
        <v>1393550</v>
      </c>
      <c r="I315" s="11">
        <f t="shared" si="111"/>
        <v>6299141</v>
      </c>
      <c r="J315" s="4">
        <f t="shared" si="112"/>
        <v>242.98666666666665</v>
      </c>
    </row>
    <row r="316" spans="1:10" ht="12.75">
      <c r="A316" s="13">
        <v>1857</v>
      </c>
      <c r="B316" s="11">
        <v>54</v>
      </c>
      <c r="C316" s="11">
        <v>4562</v>
      </c>
      <c r="D316" s="11">
        <v>24018</v>
      </c>
      <c r="E316" s="11">
        <v>85361</v>
      </c>
      <c r="F316" s="11">
        <v>257312</v>
      </c>
      <c r="G316" s="11">
        <v>523520</v>
      </c>
      <c r="H316" s="11">
        <v>1577922</v>
      </c>
      <c r="I316" s="11">
        <f t="shared" si="111"/>
        <v>4040818</v>
      </c>
      <c r="J316" s="4">
        <f t="shared" si="112"/>
        <v>554.8888888888889</v>
      </c>
    </row>
    <row r="317" spans="1:10" ht="12.75">
      <c r="A317" s="13">
        <v>1867</v>
      </c>
      <c r="B317" s="11">
        <v>50</v>
      </c>
      <c r="C317" s="11">
        <v>5673</v>
      </c>
      <c r="D317" s="11">
        <v>25954</v>
      </c>
      <c r="E317" s="11">
        <v>109390</v>
      </c>
      <c r="F317" s="11">
        <v>328487</v>
      </c>
      <c r="G317" s="11">
        <v>628033</v>
      </c>
      <c r="H317" s="11">
        <v>1536711</v>
      </c>
      <c r="I317" s="11">
        <f t="shared" si="111"/>
        <v>7371791</v>
      </c>
      <c r="J317" s="4">
        <f t="shared" si="112"/>
        <v>674.7777777777778</v>
      </c>
    </row>
    <row r="318" spans="1:10" ht="12.75">
      <c r="A318" s="13">
        <v>1877</v>
      </c>
      <c r="B318" s="11">
        <v>72</v>
      </c>
      <c r="C318" s="11">
        <v>7551</v>
      </c>
      <c r="D318" s="11">
        <v>32162</v>
      </c>
      <c r="E318" s="11">
        <v>135527</v>
      </c>
      <c r="F318" s="11">
        <v>446613</v>
      </c>
      <c r="G318" s="11">
        <v>925041</v>
      </c>
      <c r="H318" s="11">
        <v>3253622</v>
      </c>
      <c r="I318" s="11">
        <f t="shared" si="111"/>
        <v>27585230</v>
      </c>
      <c r="J318" s="4">
        <f>(80*B318+10*C318)/90</f>
        <v>903</v>
      </c>
    </row>
    <row r="319" spans="1:10" ht="12.75">
      <c r="A319" s="13">
        <v>1887</v>
      </c>
      <c r="B319" s="11">
        <v>66</v>
      </c>
      <c r="C319" s="11">
        <v>7915</v>
      </c>
      <c r="D319" s="11">
        <v>37755</v>
      </c>
      <c r="E319" s="11">
        <v>169832</v>
      </c>
      <c r="F319" s="11">
        <v>522927</v>
      </c>
      <c r="G319" s="11">
        <v>1137984</v>
      </c>
      <c r="H319" s="11">
        <v>3368899</v>
      </c>
      <c r="I319" s="11">
        <f t="shared" si="111"/>
        <v>19242980</v>
      </c>
      <c r="J319" s="4">
        <f>(80*B319+10*C319)/90</f>
        <v>938.1111111111111</v>
      </c>
    </row>
    <row r="320" spans="1:10" ht="12.75">
      <c r="A320" s="13">
        <v>1902</v>
      </c>
      <c r="B320" s="11">
        <v>42.8</v>
      </c>
      <c r="C320" s="11">
        <v>5175</v>
      </c>
      <c r="D320" s="11">
        <v>33350</v>
      </c>
      <c r="E320" s="11">
        <v>188541</v>
      </c>
      <c r="F320" s="11">
        <v>666534</v>
      </c>
      <c r="G320" s="11">
        <v>1390420</v>
      </c>
      <c r="H320" s="11">
        <v>5473616</v>
      </c>
      <c r="I320" s="11">
        <f t="shared" si="111"/>
        <v>27820790</v>
      </c>
      <c r="J320" s="4">
        <f t="shared" si="112"/>
        <v>613.0444444444445</v>
      </c>
    </row>
    <row r="322" spans="1:10" ht="12.75">
      <c r="A322" t="s">
        <v>255</v>
      </c>
      <c r="B322" s="13" t="s">
        <v>62</v>
      </c>
      <c r="C322" s="13" t="s">
        <v>63</v>
      </c>
      <c r="D322" s="13" t="s">
        <v>64</v>
      </c>
      <c r="E322" s="13" t="s">
        <v>65</v>
      </c>
      <c r="F322" s="13" t="s">
        <v>66</v>
      </c>
      <c r="G322" s="13" t="s">
        <v>67</v>
      </c>
      <c r="H322" s="13" t="s">
        <v>68</v>
      </c>
      <c r="I322" s="13" t="s">
        <v>56</v>
      </c>
      <c r="J322" s="13" t="s">
        <v>376</v>
      </c>
    </row>
    <row r="323" spans="1:10" ht="12.75">
      <c r="A323" s="13">
        <v>1807</v>
      </c>
      <c r="B323" s="22">
        <f aca="true" t="shared" si="113" ref="B323:J323">100*B311/B174</f>
        <v>100</v>
      </c>
      <c r="C323" s="22">
        <f t="shared" si="113"/>
        <v>91.17503656752804</v>
      </c>
      <c r="D323" s="22">
        <f t="shared" si="113"/>
        <v>69.02539045458512</v>
      </c>
      <c r="E323" s="22">
        <f t="shared" si="113"/>
        <v>54.91299214619373</v>
      </c>
      <c r="F323" s="22">
        <f t="shared" si="113"/>
        <v>54.7853951803229</v>
      </c>
      <c r="G323" s="22">
        <f t="shared" si="113"/>
        <v>55.318657773666246</v>
      </c>
      <c r="H323" s="22">
        <f t="shared" si="113"/>
        <v>63.216207199240756</v>
      </c>
      <c r="I323" s="22">
        <f t="shared" si="113"/>
        <v>98.14286585923915</v>
      </c>
      <c r="J323" s="22">
        <f t="shared" si="113"/>
        <v>91.95912927587739</v>
      </c>
    </row>
    <row r="324" spans="1:10" ht="12.75">
      <c r="A324" s="13">
        <v>1817</v>
      </c>
      <c r="B324" s="22">
        <f aca="true" t="shared" si="114" ref="B324:J324">100*B312/B175</f>
        <v>100</v>
      </c>
      <c r="C324" s="22">
        <f t="shared" si="114"/>
        <v>97.5095785440613</v>
      </c>
      <c r="D324" s="22">
        <f t="shared" si="114"/>
        <v>70.84365781710915</v>
      </c>
      <c r="E324" s="22">
        <f t="shared" si="114"/>
        <v>55.3263466266762</v>
      </c>
      <c r="F324" s="22">
        <f t="shared" si="114"/>
        <v>46.87257733656241</v>
      </c>
      <c r="G324" s="22">
        <f t="shared" si="114"/>
        <v>48.78743704227821</v>
      </c>
      <c r="H324" s="22">
        <f t="shared" si="114"/>
        <v>66.42506704591162</v>
      </c>
      <c r="I324" s="22">
        <f t="shared" si="114"/>
        <v>84.83285153836238</v>
      </c>
      <c r="J324" s="22">
        <f t="shared" si="114"/>
        <v>97.61904761904762</v>
      </c>
    </row>
    <row r="325" spans="1:10" ht="12.75">
      <c r="A325" s="13">
        <v>1827</v>
      </c>
      <c r="B325" s="22">
        <f aca="true" t="shared" si="115" ref="B325:J325">100*B313/B176</f>
        <v>100</v>
      </c>
      <c r="C325" s="22">
        <f t="shared" si="115"/>
        <v>95.05938242280286</v>
      </c>
      <c r="D325" s="22">
        <f t="shared" si="115"/>
        <v>76.58292094911813</v>
      </c>
      <c r="E325" s="22">
        <f t="shared" si="115"/>
        <v>54.29647605294109</v>
      </c>
      <c r="F325" s="22">
        <f t="shared" si="115"/>
        <v>58.75418532179615</v>
      </c>
      <c r="G325" s="22">
        <f t="shared" si="115"/>
        <v>48.249532353139344</v>
      </c>
      <c r="H325" s="22">
        <f t="shared" si="115"/>
        <v>65.87457327536232</v>
      </c>
      <c r="I325" s="22">
        <f t="shared" si="115"/>
        <v>64.75154889828399</v>
      </c>
      <c r="J325" s="22">
        <f t="shared" si="115"/>
        <v>95.2667892446888</v>
      </c>
    </row>
    <row r="326" spans="1:10" ht="12.75">
      <c r="A326" s="13">
        <v>1837</v>
      </c>
      <c r="B326" s="22">
        <f aca="true" t="shared" si="116" ref="B326:J326">100*B314/B177</f>
        <v>100</v>
      </c>
      <c r="C326" s="22">
        <f t="shared" si="116"/>
        <v>95.33300923675255</v>
      </c>
      <c r="D326" s="22">
        <f t="shared" si="116"/>
        <v>72.20086216940464</v>
      </c>
      <c r="E326" s="22">
        <f t="shared" si="116"/>
        <v>49.952518634446534</v>
      </c>
      <c r="F326" s="22">
        <f t="shared" si="116"/>
        <v>47.3014554237419</v>
      </c>
      <c r="G326" s="22">
        <f t="shared" si="116"/>
        <v>48.94194426928389</v>
      </c>
      <c r="H326" s="22">
        <f t="shared" si="116"/>
        <v>52.38148222853845</v>
      </c>
      <c r="I326" s="22">
        <f t="shared" si="116"/>
        <v>52.938313017514986</v>
      </c>
      <c r="J326" s="22">
        <f t="shared" si="116"/>
        <v>95.60640732265448</v>
      </c>
    </row>
    <row r="327" spans="1:10" ht="12.75">
      <c r="A327" s="13">
        <v>1847</v>
      </c>
      <c r="B327" s="22">
        <f aca="true" t="shared" si="117" ref="B327:J327">100*B315/B178</f>
        <v>100</v>
      </c>
      <c r="C327" s="22">
        <f t="shared" si="117"/>
        <v>98.32089552238806</v>
      </c>
      <c r="D327" s="22">
        <f t="shared" si="117"/>
        <v>74.47211002607496</v>
      </c>
      <c r="E327" s="22">
        <f t="shared" si="117"/>
        <v>53.95622524326661</v>
      </c>
      <c r="F327" s="22">
        <f t="shared" si="117"/>
        <v>52.843862290254165</v>
      </c>
      <c r="G327" s="22">
        <f t="shared" si="117"/>
        <v>44.7989796125566</v>
      </c>
      <c r="H327" s="22">
        <f t="shared" si="117"/>
        <v>68.58535818712132</v>
      </c>
      <c r="I327" s="22">
        <f t="shared" si="117"/>
        <v>66.6501640928612</v>
      </c>
      <c r="J327" s="22">
        <f t="shared" si="117"/>
        <v>98.38047937810408</v>
      </c>
    </row>
    <row r="328" spans="1:10" ht="12.75">
      <c r="A328" s="13">
        <v>1857</v>
      </c>
      <c r="B328" s="22">
        <f aca="true" t="shared" si="118" ref="B328:J328">100*B316/B179</f>
        <v>100</v>
      </c>
      <c r="C328" s="22">
        <f t="shared" si="118"/>
        <v>96.46859801226475</v>
      </c>
      <c r="D328" s="22">
        <f t="shared" si="118"/>
        <v>80.48388177736076</v>
      </c>
      <c r="E328" s="22">
        <f t="shared" si="118"/>
        <v>55.72467008522458</v>
      </c>
      <c r="F328" s="22">
        <f t="shared" si="118"/>
        <v>50.6147049219669</v>
      </c>
      <c r="G328" s="22">
        <f t="shared" si="118"/>
        <v>56.2881909790196</v>
      </c>
      <c r="H328" s="22">
        <f t="shared" si="118"/>
        <v>78.26022696036625</v>
      </c>
      <c r="I328" s="22">
        <f t="shared" si="118"/>
        <v>100</v>
      </c>
      <c r="J328" s="22">
        <f t="shared" si="118"/>
        <v>96.76419298585546</v>
      </c>
    </row>
    <row r="329" spans="1:10" ht="12.75">
      <c r="A329" s="13">
        <v>1867</v>
      </c>
      <c r="B329" s="22">
        <f aca="true" t="shared" si="119" ref="B329:J329">100*B317/B180</f>
        <v>100</v>
      </c>
      <c r="C329" s="22">
        <f t="shared" si="119"/>
        <v>92.27391021470397</v>
      </c>
      <c r="D329" s="22">
        <f t="shared" si="119"/>
        <v>72.84106536442985</v>
      </c>
      <c r="E329" s="22">
        <f t="shared" si="119"/>
        <v>59.34819524845513</v>
      </c>
      <c r="F329" s="22">
        <f t="shared" si="119"/>
        <v>55.29181261645825</v>
      </c>
      <c r="G329" s="22">
        <f t="shared" si="119"/>
        <v>55.29669122162726</v>
      </c>
      <c r="H329" s="22">
        <f t="shared" si="119"/>
        <v>55.830400774417576</v>
      </c>
      <c r="I329" s="22">
        <f t="shared" si="119"/>
        <v>90.2540272349126</v>
      </c>
      <c r="J329" s="22">
        <f t="shared" si="119"/>
        <v>92.74587660354307</v>
      </c>
    </row>
    <row r="330" spans="1:10" ht="12.75">
      <c r="A330" s="13">
        <v>1877</v>
      </c>
      <c r="B330" s="22">
        <f aca="true" t="shared" si="120" ref="B330:J330">100*B318/B181</f>
        <v>98.63013698630137</v>
      </c>
      <c r="C330" s="22">
        <f t="shared" si="120"/>
        <v>90.97590361445783</v>
      </c>
      <c r="D330" s="22">
        <f t="shared" si="120"/>
        <v>72.37988072465399</v>
      </c>
      <c r="E330" s="22">
        <f t="shared" si="120"/>
        <v>62.57234207093967</v>
      </c>
      <c r="F330" s="22">
        <f t="shared" si="120"/>
        <v>62.3310230866496</v>
      </c>
      <c r="G330" s="22">
        <f t="shared" si="120"/>
        <v>58.85679091367778</v>
      </c>
      <c r="H330" s="22">
        <f t="shared" si="120"/>
        <v>73.75623711332416</v>
      </c>
      <c r="I330" s="22">
        <f t="shared" si="120"/>
        <v>89.15573439343255</v>
      </c>
      <c r="J330" s="22">
        <f t="shared" si="120"/>
        <v>91.47906348491671</v>
      </c>
    </row>
    <row r="331" spans="1:10" ht="12.75">
      <c r="A331" s="13">
        <v>1887</v>
      </c>
      <c r="B331" s="22">
        <f aca="true" t="shared" si="121" ref="B331:J331">100*B319/B182</f>
        <v>98.50746268656717</v>
      </c>
      <c r="C331" s="22">
        <f t="shared" si="121"/>
        <v>91.49231302739568</v>
      </c>
      <c r="D331" s="22">
        <f t="shared" si="121"/>
        <v>73.15868002402775</v>
      </c>
      <c r="E331" s="22">
        <f t="shared" si="121"/>
        <v>64.52810366625727</v>
      </c>
      <c r="F331" s="22">
        <f t="shared" si="121"/>
        <v>60.934561361395886</v>
      </c>
      <c r="G331" s="22">
        <f t="shared" si="121"/>
        <v>66.29791573725207</v>
      </c>
      <c r="H331" s="22">
        <f t="shared" si="121"/>
        <v>69.78534166980262</v>
      </c>
      <c r="I331" s="22">
        <f t="shared" si="121"/>
        <v>96.41814945905969</v>
      </c>
      <c r="J331" s="22">
        <f t="shared" si="121"/>
        <v>91.90160008707956</v>
      </c>
    </row>
    <row r="332" spans="1:10" ht="12.75">
      <c r="A332" s="13">
        <v>1902</v>
      </c>
      <c r="B332" s="22">
        <f aca="true" t="shared" si="122" ref="B332:J332">100*B320/B183</f>
        <v>95.11111111111111</v>
      </c>
      <c r="C332" s="22">
        <f t="shared" si="122"/>
        <v>88.25034106412005</v>
      </c>
      <c r="D332" s="22">
        <f t="shared" si="122"/>
        <v>79.72937435750316</v>
      </c>
      <c r="E332" s="22">
        <f t="shared" si="122"/>
        <v>68.81811877212833</v>
      </c>
      <c r="F332" s="22">
        <f t="shared" si="122"/>
        <v>64.03383965361046</v>
      </c>
      <c r="G332" s="22">
        <f t="shared" si="122"/>
        <v>60.91290278948299</v>
      </c>
      <c r="H332" s="22">
        <f t="shared" si="122"/>
        <v>74.7978149112357</v>
      </c>
      <c r="I332" s="22">
        <f t="shared" si="122"/>
        <v>90.70519821881176</v>
      </c>
      <c r="J332" s="22">
        <f t="shared" si="122"/>
        <v>88.64717223650386</v>
      </c>
    </row>
    <row r="333" spans="1:9" ht="12.75">
      <c r="A333" s="13"/>
      <c r="B333" s="22"/>
      <c r="C333" s="22"/>
      <c r="D333" s="22"/>
      <c r="E333" s="22"/>
      <c r="F333" s="22"/>
      <c r="G333" s="22"/>
      <c r="H333" s="22"/>
      <c r="I333" s="22"/>
    </row>
    <row r="334" ht="12.75">
      <c r="A334" s="20" t="s">
        <v>321</v>
      </c>
    </row>
    <row r="335" ht="12.75">
      <c r="A335" s="20" t="s">
        <v>322</v>
      </c>
    </row>
    <row r="336" ht="12.75">
      <c r="A336" s="47"/>
    </row>
    <row r="337" spans="1:2" ht="12.75">
      <c r="A337" s="20" t="s">
        <v>280</v>
      </c>
      <c r="B337" s="1" t="s">
        <v>323</v>
      </c>
    </row>
    <row r="338" ht="12.75">
      <c r="A338" s="27" t="s">
        <v>324</v>
      </c>
    </row>
    <row r="339" ht="12.75">
      <c r="A339" s="27" t="s">
        <v>325</v>
      </c>
    </row>
    <row r="340" ht="12.75">
      <c r="A340" s="27" t="s">
        <v>326</v>
      </c>
    </row>
    <row r="341" ht="12.75">
      <c r="A341" s="27" t="s">
        <v>327</v>
      </c>
    </row>
    <row r="342" ht="12.75">
      <c r="A342" s="27" t="s">
        <v>328</v>
      </c>
    </row>
    <row r="343" ht="12.75">
      <c r="A343" s="27" t="s">
        <v>338</v>
      </c>
    </row>
    <row r="344" ht="12.75">
      <c r="A344" s="27" t="s">
        <v>339</v>
      </c>
    </row>
    <row r="345" ht="12.75">
      <c r="A345" s="27" t="s">
        <v>340</v>
      </c>
    </row>
    <row r="346" ht="12.75">
      <c r="A346" s="27" t="s">
        <v>329</v>
      </c>
    </row>
    <row r="347" ht="12.75">
      <c r="A347" s="27" t="s">
        <v>330</v>
      </c>
    </row>
    <row r="348" ht="12.75">
      <c r="A348" s="27" t="s">
        <v>331</v>
      </c>
    </row>
    <row r="349" ht="12.75">
      <c r="A349" s="27" t="s">
        <v>332</v>
      </c>
    </row>
    <row r="350" ht="12.75">
      <c r="A350" s="27" t="s">
        <v>333</v>
      </c>
    </row>
    <row r="351" ht="12.75">
      <c r="A351" s="27" t="s">
        <v>334</v>
      </c>
    </row>
    <row r="352" ht="12.75">
      <c r="A352" s="27" t="s">
        <v>335</v>
      </c>
    </row>
    <row r="353" ht="12.75">
      <c r="A353" s="27" t="s">
        <v>336</v>
      </c>
    </row>
    <row r="354" ht="12.75">
      <c r="A354" s="27" t="s">
        <v>337</v>
      </c>
    </row>
    <row r="355" ht="12.75">
      <c r="A355" s="27" t="s">
        <v>341</v>
      </c>
    </row>
    <row r="356" ht="12.75">
      <c r="A356" s="27" t="s">
        <v>342</v>
      </c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  <row r="884" ht="12.75">
      <c r="A884" s="13"/>
    </row>
    <row r="885" ht="12.75">
      <c r="A885" s="13"/>
    </row>
    <row r="886" ht="12.75">
      <c r="A886" s="13"/>
    </row>
    <row r="887" ht="12.75">
      <c r="A887" s="13"/>
    </row>
    <row r="888" ht="12.75">
      <c r="A888" s="13"/>
    </row>
    <row r="889" ht="12.75">
      <c r="A889" s="13"/>
    </row>
    <row r="890" ht="12.75">
      <c r="A890" s="13"/>
    </row>
    <row r="891" ht="12.75">
      <c r="A891" s="13"/>
    </row>
    <row r="892" ht="12.75">
      <c r="A892" s="13"/>
    </row>
    <row r="893" ht="12.75">
      <c r="A893" s="13"/>
    </row>
    <row r="894" ht="12.75">
      <c r="A894" s="13"/>
    </row>
    <row r="895" ht="12.75">
      <c r="A895" s="13"/>
    </row>
    <row r="896" ht="12.75">
      <c r="A896" s="13"/>
    </row>
    <row r="897" ht="12.75">
      <c r="A897" s="13"/>
    </row>
    <row r="898" ht="12.75">
      <c r="A898" s="13"/>
    </row>
    <row r="899" ht="12.75">
      <c r="A899" s="13"/>
    </row>
    <row r="900" ht="12.75">
      <c r="A900" s="13"/>
    </row>
    <row r="901" ht="12.75">
      <c r="A901" s="13"/>
    </row>
    <row r="902" ht="12.75">
      <c r="A902" s="13"/>
    </row>
    <row r="903" ht="12.75">
      <c r="A903" s="13"/>
    </row>
    <row r="904" ht="12.75">
      <c r="A904" s="13"/>
    </row>
    <row r="905" ht="12.75">
      <c r="A905" s="13"/>
    </row>
    <row r="906" ht="12.75">
      <c r="A906" s="13"/>
    </row>
    <row r="907" ht="12.75">
      <c r="A907" s="13"/>
    </row>
    <row r="908" ht="12.75">
      <c r="A908" s="13"/>
    </row>
    <row r="909" ht="12.75">
      <c r="A909" s="13"/>
    </row>
    <row r="910" ht="12.75">
      <c r="A910" s="13"/>
    </row>
    <row r="911" ht="12.75">
      <c r="A911" s="13"/>
    </row>
    <row r="912" ht="12.75">
      <c r="A912" s="13"/>
    </row>
    <row r="913" ht="12.75">
      <c r="A913" s="13"/>
    </row>
    <row r="914" ht="12.75">
      <c r="A914" s="13"/>
    </row>
    <row r="915" ht="12.75">
      <c r="A915" s="13"/>
    </row>
    <row r="916" ht="12.75">
      <c r="A916" s="13"/>
    </row>
    <row r="917" ht="12.75">
      <c r="A917" s="13"/>
    </row>
    <row r="918" ht="12.75">
      <c r="A918" s="13"/>
    </row>
    <row r="919" ht="12.75">
      <c r="A919" s="13"/>
    </row>
    <row r="920" ht="12.75">
      <c r="A920" s="13"/>
    </row>
    <row r="921" ht="12.75">
      <c r="A921" s="13"/>
    </row>
    <row r="922" ht="12.75">
      <c r="A922" s="13"/>
    </row>
    <row r="923" ht="12.75">
      <c r="A923" s="13"/>
    </row>
    <row r="924" ht="12.75">
      <c r="A924" s="13"/>
    </row>
    <row r="925" ht="12.75">
      <c r="A925" s="13"/>
    </row>
    <row r="926" ht="12.75">
      <c r="A926" s="13"/>
    </row>
    <row r="927" ht="12.75">
      <c r="A927" s="13"/>
    </row>
    <row r="928" ht="12.75">
      <c r="A928" s="13"/>
    </row>
    <row r="929" ht="12.75">
      <c r="A929" s="13"/>
    </row>
    <row r="930" ht="12.75">
      <c r="A930" s="13"/>
    </row>
    <row r="931" ht="12.75">
      <c r="A931" s="13"/>
    </row>
    <row r="932" ht="12.75">
      <c r="A932" s="13"/>
    </row>
    <row r="933" ht="12.75">
      <c r="A933" s="13"/>
    </row>
    <row r="934" ht="12.75">
      <c r="A934" s="13"/>
    </row>
    <row r="935" ht="12.75">
      <c r="A935" s="13"/>
    </row>
    <row r="936" ht="12.75">
      <c r="A936" s="13"/>
    </row>
    <row r="937" ht="12.75">
      <c r="A937" s="13"/>
    </row>
    <row r="938" ht="12.75">
      <c r="A938" s="13"/>
    </row>
    <row r="939" ht="12.75">
      <c r="A939" s="13"/>
    </row>
    <row r="940" ht="12.75">
      <c r="A940" s="13"/>
    </row>
    <row r="941" ht="12.75">
      <c r="A941" s="13"/>
    </row>
    <row r="942" ht="12.75">
      <c r="A942" s="13"/>
    </row>
    <row r="943" ht="12.75">
      <c r="A943" s="13"/>
    </row>
    <row r="944" ht="12.75">
      <c r="A944" s="13"/>
    </row>
    <row r="945" ht="12.75">
      <c r="A945" s="13"/>
    </row>
    <row r="946" ht="12.75">
      <c r="A946" s="13"/>
    </row>
    <row r="947" ht="12.75">
      <c r="A947" s="13"/>
    </row>
    <row r="948" ht="12.75">
      <c r="A948" s="13"/>
    </row>
    <row r="949" ht="12.75">
      <c r="A949" s="13"/>
    </row>
    <row r="950" ht="12.75">
      <c r="A950" s="13"/>
    </row>
    <row r="951" ht="12.75">
      <c r="A951" s="13"/>
    </row>
    <row r="952" ht="12.75">
      <c r="A952" s="13"/>
    </row>
    <row r="953" ht="12.75">
      <c r="A953" s="13"/>
    </row>
    <row r="954" ht="12.75">
      <c r="A954" s="13"/>
    </row>
    <row r="955" ht="12.75">
      <c r="A955" s="13"/>
    </row>
    <row r="956" ht="12.75">
      <c r="A956" s="13"/>
    </row>
    <row r="957" ht="12.75">
      <c r="A957" s="13"/>
    </row>
    <row r="958" ht="12.75">
      <c r="A958" s="13"/>
    </row>
    <row r="959" ht="12.75">
      <c r="A959" s="13"/>
    </row>
    <row r="960" ht="12.75">
      <c r="A960" s="13"/>
    </row>
    <row r="961" ht="12.75">
      <c r="A961" s="13"/>
    </row>
    <row r="962" ht="12.75">
      <c r="A962" s="13"/>
    </row>
    <row r="963" ht="12.75">
      <c r="A963" s="13"/>
    </row>
    <row r="964" ht="12.75">
      <c r="A964" s="13"/>
    </row>
    <row r="965" ht="12.75">
      <c r="A965" s="13"/>
    </row>
    <row r="966" ht="12.75">
      <c r="A966" s="13"/>
    </row>
    <row r="967" ht="12.75">
      <c r="A967" s="13"/>
    </row>
    <row r="968" ht="12.75">
      <c r="A968" s="13"/>
    </row>
    <row r="969" ht="12.75">
      <c r="A969" s="13"/>
    </row>
    <row r="970" ht="12.75">
      <c r="A970" s="13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3"/>
    </row>
    <row r="978" ht="12.75">
      <c r="A978" s="13"/>
    </row>
    <row r="979" ht="12.75">
      <c r="A979" s="13"/>
    </row>
    <row r="980" ht="12.75">
      <c r="A980" s="13"/>
    </row>
    <row r="981" ht="12.75">
      <c r="A981" s="13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3"/>
    </row>
    <row r="999" ht="12.75">
      <c r="A999" s="13"/>
    </row>
    <row r="1000" ht="12.75">
      <c r="A1000" s="13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  <row r="1100" ht="12.75">
      <c r="A1100" s="13"/>
    </row>
    <row r="1101" ht="12.75">
      <c r="A1101" s="13"/>
    </row>
    <row r="1102" ht="12.75">
      <c r="A1102" s="13"/>
    </row>
    <row r="1103" ht="12.75">
      <c r="A1103" s="13"/>
    </row>
    <row r="1104" ht="12.75">
      <c r="A1104" s="13"/>
    </row>
    <row r="1105" ht="12.75">
      <c r="A1105" s="13"/>
    </row>
    <row r="1106" ht="12.75">
      <c r="A1106" s="13"/>
    </row>
    <row r="1107" ht="12.75">
      <c r="A1107" s="13"/>
    </row>
    <row r="1108" ht="12.75">
      <c r="A1108" s="13"/>
    </row>
    <row r="1109" ht="12.75">
      <c r="A1109" s="13"/>
    </row>
    <row r="1110" ht="12.75">
      <c r="A1110" s="13"/>
    </row>
    <row r="1111" ht="12.75">
      <c r="A1111" s="13"/>
    </row>
    <row r="1112" ht="12.75">
      <c r="A1112" s="13"/>
    </row>
    <row r="1113" ht="12.75">
      <c r="A1113" s="13"/>
    </row>
    <row r="1114" ht="12.75">
      <c r="A1114" s="13"/>
    </row>
    <row r="1115" ht="12.75">
      <c r="A1115" s="13"/>
    </row>
    <row r="1116" ht="12.75">
      <c r="A1116" s="13"/>
    </row>
    <row r="1117" ht="12.75">
      <c r="A1117" s="13"/>
    </row>
    <row r="1118" ht="12.75">
      <c r="A1118" s="13"/>
    </row>
    <row r="1119" ht="12.75">
      <c r="A1119" s="13"/>
    </row>
    <row r="1120" ht="12.75">
      <c r="A1120" s="13"/>
    </row>
    <row r="1121" ht="12.75">
      <c r="A1121" s="13"/>
    </row>
    <row r="1122" ht="12.75">
      <c r="A1122" s="13"/>
    </row>
    <row r="1123" ht="12.75">
      <c r="A1123" s="13"/>
    </row>
    <row r="1124" ht="12.75">
      <c r="A1124" s="13"/>
    </row>
    <row r="1125" ht="12.75">
      <c r="A1125" s="13"/>
    </row>
    <row r="1126" ht="12.75">
      <c r="A1126" s="13"/>
    </row>
    <row r="1127" ht="12.75">
      <c r="A1127" s="13"/>
    </row>
    <row r="1128" ht="12.75">
      <c r="A1128" s="13"/>
    </row>
    <row r="1129" ht="12.75">
      <c r="A1129" s="13"/>
    </row>
    <row r="1130" ht="12.75">
      <c r="A1130" s="13"/>
    </row>
    <row r="1131" ht="12.75">
      <c r="A1131" s="13"/>
    </row>
    <row r="1132" ht="12.75">
      <c r="A1132" s="13"/>
    </row>
    <row r="1133" ht="12.75">
      <c r="A1133" s="13"/>
    </row>
    <row r="1134" ht="12.75">
      <c r="A1134" s="13"/>
    </row>
    <row r="1135" ht="12.75">
      <c r="A1135" s="13"/>
    </row>
    <row r="1136" ht="12.75">
      <c r="A1136" s="13"/>
    </row>
    <row r="1137" ht="12.75">
      <c r="A1137" s="13"/>
    </row>
    <row r="1138" ht="12.75">
      <c r="A1138" s="13"/>
    </row>
    <row r="1139" ht="12.75">
      <c r="A1139" s="13"/>
    </row>
    <row r="1140" ht="12.75">
      <c r="A1140" s="13"/>
    </row>
    <row r="1141" ht="12.75">
      <c r="A1141" s="13"/>
    </row>
    <row r="1142" ht="12.75">
      <c r="A1142" s="13"/>
    </row>
    <row r="1143" ht="12.75">
      <c r="A1143" s="13"/>
    </row>
    <row r="1144" ht="12.75">
      <c r="A1144" s="13"/>
    </row>
    <row r="1145" ht="12.75">
      <c r="A1145" s="13"/>
    </row>
    <row r="1146" ht="12.75">
      <c r="A1146" s="13"/>
    </row>
    <row r="1147" ht="12.75">
      <c r="A1147" s="13"/>
    </row>
    <row r="1148" ht="12.75">
      <c r="A1148" s="13"/>
    </row>
    <row r="1149" ht="12.75">
      <c r="A1149" s="13"/>
    </row>
    <row r="1150" ht="12.75">
      <c r="A1150" s="13"/>
    </row>
    <row r="1151" ht="12.75">
      <c r="A1151" s="13"/>
    </row>
    <row r="1152" ht="12.75">
      <c r="A1152" s="13"/>
    </row>
    <row r="1153" ht="12.75">
      <c r="A1153" s="13"/>
    </row>
    <row r="1154" ht="12.75">
      <c r="A1154" s="13"/>
    </row>
    <row r="1155" ht="12.75">
      <c r="A1155" s="13"/>
    </row>
    <row r="1156" ht="12.75">
      <c r="A1156" s="13"/>
    </row>
    <row r="1157" ht="12.75">
      <c r="A1157" s="13"/>
    </row>
    <row r="1158" ht="12.75">
      <c r="A1158" s="13"/>
    </row>
    <row r="1159" ht="12.75">
      <c r="A1159" s="13"/>
    </row>
    <row r="1160" ht="12.75">
      <c r="A1160" s="13"/>
    </row>
    <row r="1161" ht="12.75">
      <c r="A1161" s="13"/>
    </row>
    <row r="1162" ht="12.75">
      <c r="A1162" s="13"/>
    </row>
    <row r="1163" ht="12.75">
      <c r="A1163" s="13"/>
    </row>
    <row r="1164" ht="12.75">
      <c r="A1164" s="13"/>
    </row>
    <row r="1165" ht="12.75">
      <c r="A1165" s="13"/>
    </row>
    <row r="1166" ht="12.75">
      <c r="A1166" s="13"/>
    </row>
    <row r="1167" ht="12.75">
      <c r="A1167" s="13"/>
    </row>
    <row r="1168" ht="12.75">
      <c r="A1168" s="13"/>
    </row>
    <row r="1169" ht="12.75">
      <c r="A1169" s="13"/>
    </row>
    <row r="1170" ht="12.75">
      <c r="A1170" s="13"/>
    </row>
    <row r="1171" ht="12.75">
      <c r="A1171" s="13"/>
    </row>
    <row r="1172" ht="12.75">
      <c r="A1172" s="13"/>
    </row>
    <row r="1173" ht="12.75">
      <c r="A1173" s="13"/>
    </row>
    <row r="1174" ht="12.75">
      <c r="A1174" s="13"/>
    </row>
    <row r="1175" ht="12.75">
      <c r="A1175" s="13"/>
    </row>
    <row r="1176" ht="12.75">
      <c r="A1176" s="13"/>
    </row>
    <row r="1177" ht="12.75">
      <c r="A1177" s="13"/>
    </row>
    <row r="1178" ht="12.75">
      <c r="A1178" s="13"/>
    </row>
    <row r="1179" ht="12.75">
      <c r="A1179" s="13"/>
    </row>
    <row r="1180" ht="12.75">
      <c r="A1180" s="13"/>
    </row>
    <row r="1181" ht="12.75">
      <c r="A1181" s="13"/>
    </row>
    <row r="1182" ht="12.75">
      <c r="A1182" s="13"/>
    </row>
    <row r="1183" ht="12.75">
      <c r="A1183" s="13"/>
    </row>
    <row r="1184" ht="12.75">
      <c r="A1184" s="13"/>
    </row>
    <row r="1185" ht="12.75">
      <c r="A1185" s="13"/>
    </row>
    <row r="1186" ht="12.75">
      <c r="A1186" s="13"/>
    </row>
    <row r="1187" ht="12.75">
      <c r="A1187" s="13"/>
    </row>
    <row r="1188" ht="12.75">
      <c r="A1188" s="13"/>
    </row>
    <row r="1189" ht="12.75">
      <c r="A1189" s="13"/>
    </row>
    <row r="1190" ht="12.75">
      <c r="A1190" s="13"/>
    </row>
    <row r="1191" ht="12.75">
      <c r="A1191" s="13"/>
    </row>
    <row r="1192" ht="12.75">
      <c r="A1192" s="13"/>
    </row>
    <row r="1193" ht="12.75">
      <c r="A1193" s="13"/>
    </row>
    <row r="1194" ht="12.75">
      <c r="A1194" s="13"/>
    </row>
    <row r="1195" ht="12.75">
      <c r="A1195" s="13"/>
    </row>
    <row r="1196" ht="12.75">
      <c r="A1196" s="13"/>
    </row>
    <row r="1197" ht="12.75">
      <c r="A1197" s="13"/>
    </row>
    <row r="1198" ht="12.75">
      <c r="A1198" s="13"/>
    </row>
    <row r="1199" ht="12.75">
      <c r="A1199" s="13"/>
    </row>
    <row r="1200" ht="12.75">
      <c r="A1200" s="13"/>
    </row>
    <row r="1201" ht="12.75">
      <c r="A1201" s="13"/>
    </row>
    <row r="1202" ht="12.75">
      <c r="A1202" s="13"/>
    </row>
    <row r="1203" ht="12.75">
      <c r="A1203" s="13"/>
    </row>
    <row r="1204" ht="12.75">
      <c r="A1204" s="13"/>
    </row>
    <row r="1205" ht="12.75">
      <c r="A1205" s="13"/>
    </row>
    <row r="1206" ht="12.75">
      <c r="A1206" s="13"/>
    </row>
    <row r="1207" ht="12.75">
      <c r="A1207" s="13"/>
    </row>
    <row r="1208" ht="12.75">
      <c r="A1208" s="13"/>
    </row>
    <row r="1209" ht="12.75">
      <c r="A1209" s="13"/>
    </row>
    <row r="1210" ht="12.75">
      <c r="A1210" s="13"/>
    </row>
    <row r="1211" ht="12.75">
      <c r="A1211" s="13"/>
    </row>
    <row r="1212" ht="12.75">
      <c r="A1212" s="13"/>
    </row>
    <row r="1213" ht="12.75">
      <c r="A1213" s="13"/>
    </row>
    <row r="1214" ht="12.75">
      <c r="A1214" s="13"/>
    </row>
    <row r="1215" ht="12.75">
      <c r="A1215" s="13"/>
    </row>
    <row r="1216" ht="12.75">
      <c r="A1216" s="13"/>
    </row>
    <row r="1217" ht="12.75">
      <c r="A1217" s="13"/>
    </row>
    <row r="1218" ht="12.75">
      <c r="A1218" s="13"/>
    </row>
    <row r="1219" ht="12.75">
      <c r="A1219" s="13"/>
    </row>
    <row r="1220" ht="12.75">
      <c r="A1220" s="13"/>
    </row>
    <row r="1221" ht="12.75">
      <c r="A1221" s="13"/>
    </row>
    <row r="1222" ht="12.75">
      <c r="A1222" s="13"/>
    </row>
    <row r="1223" ht="12.75">
      <c r="A1223" s="13"/>
    </row>
    <row r="1224" ht="12.75">
      <c r="A1224" s="13"/>
    </row>
    <row r="1225" ht="12.75">
      <c r="A1225" s="13"/>
    </row>
    <row r="1226" ht="12.75">
      <c r="A1226" s="13"/>
    </row>
    <row r="1227" ht="12.75">
      <c r="A1227" s="13"/>
    </row>
    <row r="1228" ht="12.75">
      <c r="A1228" s="13"/>
    </row>
    <row r="1229" ht="12.75">
      <c r="A1229" s="13"/>
    </row>
    <row r="1230" ht="12.75">
      <c r="A1230" s="13"/>
    </row>
    <row r="1231" ht="12.75">
      <c r="A1231" s="13"/>
    </row>
    <row r="1232" ht="12.75">
      <c r="A1232" s="13"/>
    </row>
    <row r="1233" ht="12.75">
      <c r="A1233" s="13"/>
    </row>
    <row r="1234" ht="12.75">
      <c r="A1234" s="13"/>
    </row>
    <row r="1235" ht="12.75">
      <c r="A1235" s="13"/>
    </row>
    <row r="1236" ht="12.75">
      <c r="A1236" s="13"/>
    </row>
    <row r="1237" ht="12.75">
      <c r="A1237" s="13"/>
    </row>
    <row r="1238" ht="12.75">
      <c r="A1238" s="13"/>
    </row>
    <row r="1239" ht="12.75">
      <c r="A1239" s="13"/>
    </row>
    <row r="1240" ht="12.75">
      <c r="A1240" s="13"/>
    </row>
    <row r="1241" ht="12.75">
      <c r="A1241" s="13"/>
    </row>
    <row r="1242" ht="12.75">
      <c r="A1242" s="13"/>
    </row>
    <row r="1243" ht="12.75">
      <c r="A1243" s="13"/>
    </row>
    <row r="1244" ht="12.75">
      <c r="A1244" s="13"/>
    </row>
    <row r="1245" ht="12.75">
      <c r="A1245" s="13"/>
    </row>
    <row r="1246" ht="12.75">
      <c r="A1246" s="13"/>
    </row>
    <row r="1247" ht="12.75">
      <c r="A1247" s="13"/>
    </row>
    <row r="1248" ht="12.75">
      <c r="A1248" s="13"/>
    </row>
    <row r="1249" ht="12.75">
      <c r="A1249" s="13"/>
    </row>
    <row r="1250" ht="12.75">
      <c r="A1250" s="13"/>
    </row>
    <row r="1251" ht="12.75">
      <c r="A1251" s="13"/>
    </row>
    <row r="1252" ht="12.75">
      <c r="A1252" s="13"/>
    </row>
    <row r="1253" ht="12.75">
      <c r="A1253" s="13"/>
    </row>
    <row r="1254" ht="12.75">
      <c r="A1254" s="13"/>
    </row>
    <row r="1255" ht="12.75">
      <c r="A1255" s="13"/>
    </row>
    <row r="1256" ht="12.75">
      <c r="A1256" s="13"/>
    </row>
    <row r="1257" ht="12.75">
      <c r="A1257" s="13"/>
    </row>
    <row r="1258" ht="12.75">
      <c r="A1258" s="13"/>
    </row>
    <row r="1259" ht="12.75">
      <c r="A1259" s="13"/>
    </row>
    <row r="1260" ht="12.75">
      <c r="A1260" s="13"/>
    </row>
    <row r="1261" ht="12.75">
      <c r="A1261" s="13"/>
    </row>
    <row r="1262" ht="12.75">
      <c r="A1262" s="13"/>
    </row>
    <row r="1263" ht="12.75">
      <c r="A1263" s="13"/>
    </row>
    <row r="1264" ht="12.75">
      <c r="A1264" s="13"/>
    </row>
    <row r="1265" ht="12.75">
      <c r="A1265" s="13"/>
    </row>
    <row r="1266" ht="12.75">
      <c r="A1266" s="13"/>
    </row>
    <row r="1267" ht="12.75">
      <c r="A1267" s="13"/>
    </row>
    <row r="1268" ht="12.75">
      <c r="A1268" s="13"/>
    </row>
    <row r="1269" ht="12.75">
      <c r="A1269" s="13"/>
    </row>
    <row r="1270" ht="12.75">
      <c r="A1270" s="13"/>
    </row>
    <row r="1271" ht="12.75">
      <c r="A1271" s="13"/>
    </row>
    <row r="1272" ht="12.75">
      <c r="A1272" s="13"/>
    </row>
    <row r="1273" ht="12.75">
      <c r="A1273" s="13"/>
    </row>
    <row r="1274" ht="12.75">
      <c r="A1274" s="13"/>
    </row>
    <row r="1275" ht="12.75">
      <c r="A1275" s="13"/>
    </row>
    <row r="1276" ht="12.75">
      <c r="A1276" s="13"/>
    </row>
    <row r="1277" ht="12.75">
      <c r="A1277" s="13"/>
    </row>
    <row r="1278" ht="12.75">
      <c r="A1278" s="13"/>
    </row>
    <row r="1279" ht="12.75">
      <c r="A1279" s="13"/>
    </row>
    <row r="1280" ht="12.75">
      <c r="A1280" s="13"/>
    </row>
    <row r="1281" ht="12.75">
      <c r="A1281" s="13"/>
    </row>
    <row r="1282" ht="12.75">
      <c r="A1282" s="13"/>
    </row>
    <row r="1283" ht="12.75">
      <c r="A1283" s="13"/>
    </row>
    <row r="1284" ht="12.75">
      <c r="A1284" s="13"/>
    </row>
    <row r="1285" ht="12.75">
      <c r="A1285" s="13"/>
    </row>
    <row r="1286" ht="12.75">
      <c r="A1286" s="13"/>
    </row>
    <row r="1287" ht="12.75">
      <c r="A1287" s="13"/>
    </row>
    <row r="1288" ht="12.75">
      <c r="A1288" s="13"/>
    </row>
    <row r="1289" ht="12.75">
      <c r="A1289" s="13"/>
    </row>
    <row r="1290" ht="12.75">
      <c r="A1290" s="13"/>
    </row>
    <row r="1291" ht="12.75">
      <c r="A1291" s="13"/>
    </row>
    <row r="1292" ht="12.75">
      <c r="A1292" s="13"/>
    </row>
    <row r="1293" ht="12.75">
      <c r="A1293" s="13"/>
    </row>
    <row r="1294" ht="12.75">
      <c r="A1294" s="13"/>
    </row>
    <row r="1295" ht="12.75">
      <c r="A1295" s="13"/>
    </row>
    <row r="1296" ht="12.75">
      <c r="A1296" s="13"/>
    </row>
    <row r="1297" ht="12.75">
      <c r="A1297" s="13"/>
    </row>
    <row r="1298" ht="12.75">
      <c r="A1298" s="13"/>
    </row>
    <row r="1299" ht="12.75">
      <c r="A1299" s="13"/>
    </row>
    <row r="1300" ht="12.75">
      <c r="A1300" s="13"/>
    </row>
    <row r="1301" ht="12.75">
      <c r="A1301" s="13"/>
    </row>
    <row r="1302" ht="12.75">
      <c r="A1302" s="13"/>
    </row>
    <row r="1303" ht="12.75">
      <c r="A1303" s="13"/>
    </row>
    <row r="1304" ht="12.75">
      <c r="A1304" s="13"/>
    </row>
    <row r="1305" ht="12.75">
      <c r="A1305" s="13"/>
    </row>
    <row r="1306" ht="12.75">
      <c r="A1306" s="13"/>
    </row>
    <row r="1307" ht="12.75">
      <c r="A1307" s="13"/>
    </row>
    <row r="1308" ht="12.75">
      <c r="A1308" s="13"/>
    </row>
    <row r="1309" ht="12.75">
      <c r="A1309" s="13"/>
    </row>
    <row r="1310" ht="12.75">
      <c r="A1310" s="13"/>
    </row>
    <row r="1311" ht="12.75">
      <c r="A1311" s="13"/>
    </row>
    <row r="1312" ht="12.75">
      <c r="A1312" s="13"/>
    </row>
    <row r="1313" ht="12.75">
      <c r="A1313" s="13"/>
    </row>
    <row r="1314" ht="12.75">
      <c r="A1314" s="13"/>
    </row>
    <row r="1315" ht="12.75">
      <c r="A1315" s="13"/>
    </row>
    <row r="1316" ht="12.75">
      <c r="A1316" s="13"/>
    </row>
    <row r="1317" ht="12.75">
      <c r="A1317" s="13"/>
    </row>
    <row r="1318" ht="12.75">
      <c r="A1318" s="13"/>
    </row>
    <row r="1319" ht="12.75">
      <c r="A1319" s="13"/>
    </row>
    <row r="1320" ht="12.75">
      <c r="A1320" s="13"/>
    </row>
    <row r="1321" ht="12.75">
      <c r="A1321" s="13"/>
    </row>
    <row r="1322" ht="12.75">
      <c r="A1322" s="13"/>
    </row>
    <row r="1323" ht="12.75">
      <c r="A1323" s="13"/>
    </row>
    <row r="1324" ht="12.75">
      <c r="A1324" s="13"/>
    </row>
    <row r="1325" ht="12.75">
      <c r="A1325" s="13"/>
    </row>
    <row r="1326" ht="12.75">
      <c r="A1326" s="13"/>
    </row>
    <row r="1327" ht="12.75">
      <c r="A1327" s="13"/>
    </row>
    <row r="1328" ht="12.75">
      <c r="A1328" s="13"/>
    </row>
    <row r="1329" ht="12.75">
      <c r="A1329" s="13"/>
    </row>
    <row r="1330" ht="12.75">
      <c r="A1330" s="13"/>
    </row>
    <row r="1331" ht="12.75">
      <c r="A1331" s="13"/>
    </row>
    <row r="1332" ht="12.75">
      <c r="A1332" s="13"/>
    </row>
    <row r="1333" ht="12.75">
      <c r="A1333" s="13"/>
    </row>
    <row r="1334" ht="12.75">
      <c r="A1334" s="13"/>
    </row>
    <row r="1335" ht="12.75">
      <c r="A1335" s="13"/>
    </row>
    <row r="1336" ht="12.75">
      <c r="A1336" s="13"/>
    </row>
    <row r="1337" ht="12.75">
      <c r="A1337" s="13"/>
    </row>
    <row r="1338" ht="12.75">
      <c r="A1338" s="13"/>
    </row>
    <row r="1339" ht="12.75">
      <c r="A1339" s="13"/>
    </row>
    <row r="1340" ht="12.75">
      <c r="A1340" s="13"/>
    </row>
    <row r="1341" ht="12.75">
      <c r="A1341" s="13"/>
    </row>
    <row r="1342" ht="12.75">
      <c r="A1342" s="13"/>
    </row>
    <row r="1343" ht="12.75">
      <c r="A1343" s="13"/>
    </row>
    <row r="1344" ht="12.75">
      <c r="A1344" s="13"/>
    </row>
    <row r="1345" ht="12.75">
      <c r="A1345" s="13"/>
    </row>
    <row r="1346" ht="12.75">
      <c r="A1346" s="13"/>
    </row>
    <row r="1347" ht="12.75">
      <c r="A1347" s="13"/>
    </row>
    <row r="1348" ht="12.75">
      <c r="A1348" s="13"/>
    </row>
    <row r="1349" ht="12.75">
      <c r="A1349" s="13"/>
    </row>
    <row r="1350" ht="12.75">
      <c r="A1350" s="13"/>
    </row>
    <row r="1351" ht="12.75">
      <c r="A1351" s="13"/>
    </row>
    <row r="1352" ht="12.75">
      <c r="A1352" s="13"/>
    </row>
    <row r="1353" ht="12.75">
      <c r="A1353" s="13"/>
    </row>
    <row r="1354" ht="12.75">
      <c r="A1354" s="13"/>
    </row>
    <row r="1355" ht="12.75">
      <c r="A1355" s="13"/>
    </row>
    <row r="1356" ht="12.75">
      <c r="A1356" s="13"/>
    </row>
    <row r="1357" ht="12.75">
      <c r="A1357" s="13"/>
    </row>
    <row r="1358" ht="12.75">
      <c r="A1358" s="13"/>
    </row>
    <row r="1359" ht="12.75">
      <c r="A1359" s="13"/>
    </row>
    <row r="1360" ht="12.75">
      <c r="A1360" s="13"/>
    </row>
    <row r="1361" ht="12.75">
      <c r="A1361" s="13"/>
    </row>
    <row r="1362" ht="12.75">
      <c r="A1362" s="13"/>
    </row>
    <row r="1363" ht="12.75">
      <c r="A1363" s="13"/>
    </row>
    <row r="1364" ht="12.75">
      <c r="A1364" s="13"/>
    </row>
    <row r="1365" ht="12.75">
      <c r="A1365" s="13"/>
    </row>
    <row r="1366" ht="12.75">
      <c r="A1366" s="13"/>
    </row>
    <row r="1367" ht="12.75">
      <c r="A1367" s="13"/>
    </row>
    <row r="1368" ht="12.75">
      <c r="A1368" s="13"/>
    </row>
    <row r="1369" ht="12.75">
      <c r="A1369" s="13"/>
    </row>
    <row r="1370" ht="12.75">
      <c r="A1370" s="13"/>
    </row>
    <row r="1371" ht="12.75">
      <c r="A1371" s="13"/>
    </row>
    <row r="1372" ht="12.75">
      <c r="A1372" s="13"/>
    </row>
    <row r="1373" ht="12.75">
      <c r="A1373" s="13"/>
    </row>
    <row r="1374" ht="12.75">
      <c r="A1374" s="13"/>
    </row>
    <row r="1375" ht="12.75">
      <c r="A1375" s="13"/>
    </row>
    <row r="1376" ht="12.75">
      <c r="A1376" s="13"/>
    </row>
    <row r="1377" ht="12.75">
      <c r="A1377" s="13"/>
    </row>
    <row r="1378" ht="12.75">
      <c r="A1378" s="13"/>
    </row>
    <row r="1379" ht="12.75">
      <c r="A1379" s="13"/>
    </row>
    <row r="1380" ht="12.75">
      <c r="A1380" s="13"/>
    </row>
    <row r="1381" ht="12.75">
      <c r="A1381" s="13"/>
    </row>
    <row r="1382" ht="12.75">
      <c r="A1382" s="13"/>
    </row>
    <row r="1383" ht="12.75">
      <c r="A1383" s="13"/>
    </row>
    <row r="1384" ht="12.75">
      <c r="A1384" s="13"/>
    </row>
    <row r="1385" ht="12.75">
      <c r="A1385" s="13"/>
    </row>
    <row r="1386" ht="12.75">
      <c r="A1386" s="13"/>
    </row>
    <row r="1387" ht="12.75">
      <c r="A1387" s="13"/>
    </row>
    <row r="1388" ht="12.75">
      <c r="A1388" s="13"/>
    </row>
    <row r="1389" ht="12.75">
      <c r="A1389" s="13"/>
    </row>
    <row r="1390" ht="12.75">
      <c r="A1390" s="13"/>
    </row>
    <row r="1391" ht="12.75">
      <c r="A1391" s="13"/>
    </row>
    <row r="1392" ht="12.75">
      <c r="A1392" s="13"/>
    </row>
    <row r="1393" ht="12.75">
      <c r="A1393" s="13"/>
    </row>
    <row r="1394" ht="12.75">
      <c r="A1394" s="13"/>
    </row>
    <row r="1395" ht="12.75">
      <c r="A1395" s="13"/>
    </row>
    <row r="1396" ht="12.75">
      <c r="A1396" s="13"/>
    </row>
    <row r="1397" ht="12.75">
      <c r="A1397" s="13"/>
    </row>
    <row r="1398" ht="12.75">
      <c r="A1398" s="13"/>
    </row>
    <row r="1399" ht="12.75">
      <c r="A1399" s="13"/>
    </row>
    <row r="1400" ht="12.75">
      <c r="A1400" s="13"/>
    </row>
    <row r="1401" ht="12.75">
      <c r="A1401" s="13"/>
    </row>
    <row r="1402" ht="12.75">
      <c r="A1402" s="13"/>
    </row>
    <row r="1403" ht="12.75">
      <c r="A1403" s="13"/>
    </row>
    <row r="1404" ht="12.75">
      <c r="A1404" s="13"/>
    </row>
    <row r="1405" ht="12.75">
      <c r="A1405" s="13"/>
    </row>
    <row r="1406" ht="12.75">
      <c r="A1406" s="13"/>
    </row>
    <row r="1407" ht="12.75">
      <c r="A1407" s="13"/>
    </row>
    <row r="1408" ht="12.75">
      <c r="A1408" s="13"/>
    </row>
    <row r="1409" ht="12.75">
      <c r="A1409" s="13"/>
    </row>
    <row r="1410" ht="12.75">
      <c r="A1410" s="13"/>
    </row>
    <row r="1411" ht="12.75">
      <c r="A1411" s="13"/>
    </row>
    <row r="1412" ht="12.75">
      <c r="A1412" s="13"/>
    </row>
    <row r="1413" ht="12.75">
      <c r="A1413" s="13"/>
    </row>
    <row r="1414" ht="12.75">
      <c r="A1414" s="13"/>
    </row>
    <row r="1415" ht="12.75">
      <c r="A1415" s="13"/>
    </row>
    <row r="1416" ht="12.75">
      <c r="A1416" s="13"/>
    </row>
    <row r="1417" ht="12.75">
      <c r="A1417" s="13"/>
    </row>
    <row r="1418" ht="12.75">
      <c r="A1418" s="13"/>
    </row>
    <row r="1419" ht="12.75">
      <c r="A1419" s="13"/>
    </row>
    <row r="1420" ht="12.75">
      <c r="A1420" s="13"/>
    </row>
    <row r="1421" ht="12.75">
      <c r="A1421" s="13"/>
    </row>
    <row r="1422" ht="12.75">
      <c r="A1422" s="13"/>
    </row>
    <row r="1423" ht="12.75">
      <c r="A1423" s="13"/>
    </row>
    <row r="1424" ht="12.75">
      <c r="A1424" s="13"/>
    </row>
    <row r="1425" ht="12.75">
      <c r="A1425" s="13"/>
    </row>
    <row r="1426" ht="12.75">
      <c r="A1426" s="13"/>
    </row>
    <row r="1427" ht="12.75">
      <c r="A1427" s="13"/>
    </row>
    <row r="1428" ht="12.75">
      <c r="A1428" s="13"/>
    </row>
    <row r="1429" ht="12.75">
      <c r="A1429" s="13"/>
    </row>
    <row r="1430" ht="12.75">
      <c r="A1430" s="13"/>
    </row>
    <row r="1431" ht="12.75">
      <c r="A1431" s="13"/>
    </row>
    <row r="1432" ht="12.75">
      <c r="A1432" s="13"/>
    </row>
    <row r="1433" ht="12.75">
      <c r="A1433" s="13"/>
    </row>
    <row r="1434" ht="12.75">
      <c r="A1434" s="13"/>
    </row>
    <row r="1435" ht="12.75">
      <c r="A1435" s="13"/>
    </row>
    <row r="1436" ht="12.75">
      <c r="A1436" s="13"/>
    </row>
    <row r="1437" ht="12.75">
      <c r="A1437" s="13"/>
    </row>
    <row r="1438" ht="12.75">
      <c r="A1438" s="13"/>
    </row>
    <row r="1439" ht="12.75">
      <c r="A1439" s="13"/>
    </row>
    <row r="1440" ht="12.75">
      <c r="A1440" s="13"/>
    </row>
    <row r="1441" ht="12.75">
      <c r="A1441" s="13"/>
    </row>
    <row r="1442" ht="12.75">
      <c r="A1442" s="13"/>
    </row>
    <row r="1443" ht="12.75">
      <c r="A1443" s="13"/>
    </row>
    <row r="1444" ht="12.75">
      <c r="A1444" s="13"/>
    </row>
    <row r="1445" ht="12.75">
      <c r="A1445" s="13"/>
    </row>
    <row r="1446" ht="12.75">
      <c r="A1446" s="13"/>
    </row>
    <row r="1447" ht="12.75">
      <c r="A1447" s="13"/>
    </row>
    <row r="1448" ht="12.75">
      <c r="A1448" s="13"/>
    </row>
    <row r="1449" ht="12.75">
      <c r="A1449" s="13"/>
    </row>
    <row r="1450" ht="12.75">
      <c r="A1450" s="13"/>
    </row>
    <row r="1451" ht="12.75">
      <c r="A1451" s="13"/>
    </row>
    <row r="1452" ht="12.75">
      <c r="A1452" s="13"/>
    </row>
    <row r="1453" ht="12.75">
      <c r="A1453" s="13"/>
    </row>
    <row r="1454" ht="12.75">
      <c r="A1454" s="13"/>
    </row>
    <row r="1455" ht="12.75">
      <c r="A1455" s="13"/>
    </row>
    <row r="1456" ht="12.75">
      <c r="A1456" s="13"/>
    </row>
    <row r="1457" ht="12.75">
      <c r="A1457" s="13"/>
    </row>
    <row r="1458" ht="12.75">
      <c r="A1458" s="13"/>
    </row>
    <row r="1459" ht="12.75">
      <c r="A1459" s="13"/>
    </row>
    <row r="1460" ht="12.75">
      <c r="A1460" s="13"/>
    </row>
    <row r="1461" ht="12.75">
      <c r="A1461" s="13"/>
    </row>
    <row r="1462" ht="12.75">
      <c r="A1462" s="13"/>
    </row>
    <row r="1463" ht="12.75">
      <c r="A1463" s="13"/>
    </row>
    <row r="1464" ht="12.75">
      <c r="A1464" s="13"/>
    </row>
    <row r="1465" ht="12.75">
      <c r="A1465" s="13"/>
    </row>
    <row r="1466" ht="12.75">
      <c r="A1466" s="13"/>
    </row>
    <row r="1467" ht="12.75">
      <c r="A1467" s="13"/>
    </row>
    <row r="1468" ht="12.75">
      <c r="A1468" s="13"/>
    </row>
    <row r="1469" ht="12.75">
      <c r="A1469" s="13"/>
    </row>
    <row r="1470" ht="12.75">
      <c r="A1470" s="13"/>
    </row>
    <row r="1471" ht="12.75">
      <c r="A1471" s="13"/>
    </row>
    <row r="1472" ht="12.75">
      <c r="A1472" s="13"/>
    </row>
    <row r="1473" ht="12.75">
      <c r="A1473" s="13"/>
    </row>
    <row r="1474" ht="12.75">
      <c r="A1474" s="13"/>
    </row>
    <row r="1475" ht="12.75">
      <c r="A1475" s="13"/>
    </row>
    <row r="1476" ht="12.75">
      <c r="A1476" s="13"/>
    </row>
    <row r="1477" ht="12.75">
      <c r="A1477" s="13"/>
    </row>
    <row r="1478" ht="12.75">
      <c r="A1478" s="13"/>
    </row>
    <row r="1479" ht="12.75">
      <c r="A1479" s="13"/>
    </row>
    <row r="1480" ht="12.75">
      <c r="A1480" s="13"/>
    </row>
    <row r="1481" ht="12.75">
      <c r="A1481" s="13"/>
    </row>
    <row r="1482" ht="12.75">
      <c r="A1482" s="13"/>
    </row>
    <row r="1483" ht="12.75">
      <c r="A1483" s="13"/>
    </row>
    <row r="1484" ht="12.75">
      <c r="A1484" s="13"/>
    </row>
    <row r="1485" ht="12.75">
      <c r="A1485" s="13"/>
    </row>
    <row r="1486" ht="12.75">
      <c r="A1486" s="13"/>
    </row>
    <row r="1487" ht="12.75">
      <c r="A1487" s="13"/>
    </row>
    <row r="1488" ht="12.75">
      <c r="A1488" s="13"/>
    </row>
    <row r="1489" ht="12.75">
      <c r="A1489" s="13"/>
    </row>
    <row r="1490" ht="12.75">
      <c r="A1490" s="13"/>
    </row>
    <row r="1491" ht="12.75">
      <c r="A1491" s="13"/>
    </row>
    <row r="1492" ht="12.75">
      <c r="A1492" s="13"/>
    </row>
    <row r="1493" ht="12.75">
      <c r="A1493" s="13"/>
    </row>
    <row r="1494" ht="12.75">
      <c r="A1494" s="13"/>
    </row>
    <row r="1495" ht="12.75">
      <c r="A1495" s="13"/>
    </row>
    <row r="1496" ht="12.75">
      <c r="A1496" s="13"/>
    </row>
    <row r="1497" ht="12.75">
      <c r="A1497" s="13"/>
    </row>
    <row r="1498" ht="12.75">
      <c r="A1498" s="13"/>
    </row>
    <row r="1499" ht="12.75">
      <c r="A1499" s="13"/>
    </row>
    <row r="1500" ht="12.75">
      <c r="A1500" s="13"/>
    </row>
    <row r="1501" ht="12.75">
      <c r="A1501" s="13"/>
    </row>
    <row r="1502" ht="12.75">
      <c r="A1502" s="13"/>
    </row>
    <row r="1503" ht="12.75">
      <c r="A1503" s="13"/>
    </row>
    <row r="1504" ht="12.75">
      <c r="A1504" s="13"/>
    </row>
    <row r="1505" ht="12.75">
      <c r="A1505" s="13"/>
    </row>
    <row r="1506" ht="12.75">
      <c r="A1506" s="13"/>
    </row>
    <row r="1507" ht="12.75">
      <c r="A1507" s="13"/>
    </row>
    <row r="1508" ht="12.75">
      <c r="A1508" s="13"/>
    </row>
    <row r="1509" ht="12.75">
      <c r="A1509" s="13"/>
    </row>
    <row r="1510" ht="12.75">
      <c r="A1510" s="13"/>
    </row>
    <row r="1511" ht="12.75">
      <c r="A1511" s="13"/>
    </row>
    <row r="1512" ht="12.75">
      <c r="A1512" s="13"/>
    </row>
    <row r="1513" ht="12.75">
      <c r="A1513" s="13"/>
    </row>
    <row r="1514" ht="12.75">
      <c r="A1514" s="13"/>
    </row>
    <row r="1515" ht="12.75">
      <c r="A1515" s="13"/>
    </row>
    <row r="1516" ht="12.75">
      <c r="A1516" s="13"/>
    </row>
    <row r="1517" ht="12.75">
      <c r="A1517" s="13"/>
    </row>
    <row r="1518" ht="12.75">
      <c r="A1518" s="13"/>
    </row>
    <row r="1519" ht="12.75">
      <c r="A1519" s="13"/>
    </row>
    <row r="1520" ht="12.75">
      <c r="A1520" s="13"/>
    </row>
    <row r="1521" ht="12.75">
      <c r="A1521" s="13"/>
    </row>
    <row r="1522" ht="12.75">
      <c r="A1522" s="13"/>
    </row>
    <row r="1523" ht="12.75">
      <c r="A1523" s="13"/>
    </row>
    <row r="1524" ht="12.75">
      <c r="A1524" s="13"/>
    </row>
    <row r="1525" ht="12.75">
      <c r="A1525" s="13"/>
    </row>
    <row r="1526" ht="12.75">
      <c r="A1526" s="13"/>
    </row>
    <row r="1527" ht="12.75">
      <c r="A1527" s="13"/>
    </row>
    <row r="1528" ht="12.75">
      <c r="A1528" s="13"/>
    </row>
    <row r="1529" ht="12.75">
      <c r="A1529" s="13"/>
    </row>
    <row r="1530" ht="12.75">
      <c r="A1530" s="13"/>
    </row>
    <row r="1531" ht="12.75">
      <c r="A1531" s="13"/>
    </row>
    <row r="1532" ht="12.75">
      <c r="A1532" s="13"/>
    </row>
    <row r="1533" ht="12.75">
      <c r="A1533" s="13"/>
    </row>
    <row r="1534" ht="12.75">
      <c r="A1534" s="13"/>
    </row>
    <row r="1535" ht="12.75">
      <c r="A1535" s="13"/>
    </row>
    <row r="1536" ht="12.75">
      <c r="A1536" s="13"/>
    </row>
    <row r="1537" ht="12.75">
      <c r="A1537" s="13"/>
    </row>
    <row r="1538" ht="12.75">
      <c r="A1538" s="13"/>
    </row>
    <row r="1539" ht="12.75">
      <c r="A1539" s="13"/>
    </row>
    <row r="1540" ht="12.75">
      <c r="A1540" s="13"/>
    </row>
    <row r="1541" ht="12.75">
      <c r="A1541" s="13"/>
    </row>
    <row r="1542" ht="12.75">
      <c r="A1542" s="13"/>
    </row>
    <row r="1543" ht="12.75">
      <c r="A1543" s="13"/>
    </row>
    <row r="1544" ht="12.75">
      <c r="A1544" s="13"/>
    </row>
    <row r="1545" ht="12.75">
      <c r="A1545" s="13"/>
    </row>
    <row r="1546" ht="12.75">
      <c r="A1546" s="13"/>
    </row>
    <row r="1547" ht="12.75">
      <c r="A1547" s="13"/>
    </row>
    <row r="1548" ht="12.75">
      <c r="A1548" s="13"/>
    </row>
    <row r="1549" ht="12.75">
      <c r="A1549" s="13"/>
    </row>
    <row r="1550" ht="12.75">
      <c r="A1550" s="13"/>
    </row>
    <row r="1551" ht="12.75">
      <c r="A1551" s="13"/>
    </row>
    <row r="1552" ht="12.75">
      <c r="A1552" s="13"/>
    </row>
    <row r="1553" ht="12.75">
      <c r="A1553" s="13"/>
    </row>
    <row r="1554" ht="12.75">
      <c r="A1554" s="13"/>
    </row>
    <row r="1555" ht="12.75">
      <c r="A1555" s="13"/>
    </row>
    <row r="1556" ht="12.75">
      <c r="A1556" s="13"/>
    </row>
    <row r="1557" ht="12.75">
      <c r="A1557" s="13"/>
    </row>
    <row r="1558" ht="12.75">
      <c r="A1558" s="13"/>
    </row>
    <row r="1559" ht="12.75">
      <c r="A1559" s="13"/>
    </row>
    <row r="1560" ht="12.75">
      <c r="A1560" s="13"/>
    </row>
    <row r="1561" ht="12.75">
      <c r="A1561" s="13"/>
    </row>
    <row r="1562" ht="12.75">
      <c r="A1562" s="13"/>
    </row>
    <row r="1563" ht="12.75">
      <c r="A1563" s="13"/>
    </row>
    <row r="1564" ht="12.75">
      <c r="A1564" s="13"/>
    </row>
    <row r="1565" ht="12.75">
      <c r="A1565" s="13"/>
    </row>
    <row r="1566" ht="12.75">
      <c r="A1566" s="13"/>
    </row>
    <row r="1567" ht="12.75">
      <c r="A1567" s="13"/>
    </row>
    <row r="1568" ht="12.75">
      <c r="A1568" s="13"/>
    </row>
    <row r="1569" ht="12.75">
      <c r="A1569" s="13"/>
    </row>
    <row r="1570" ht="12.75">
      <c r="A1570" s="13"/>
    </row>
    <row r="1571" ht="12.75">
      <c r="A1571" s="13"/>
    </row>
    <row r="1572" ht="12.75">
      <c r="A1572" s="13"/>
    </row>
    <row r="1573" ht="12.75">
      <c r="A1573" s="13"/>
    </row>
    <row r="1574" ht="12.75">
      <c r="A1574" s="13"/>
    </row>
    <row r="1575" ht="12.75">
      <c r="A1575" s="13"/>
    </row>
    <row r="1576" ht="12.75">
      <c r="A1576" s="13"/>
    </row>
    <row r="1577" ht="12.75">
      <c r="A1577" s="13"/>
    </row>
    <row r="1578" ht="12.75">
      <c r="A1578" s="13"/>
    </row>
    <row r="1579" ht="12.75">
      <c r="A1579" s="13"/>
    </row>
    <row r="1580" ht="12.75">
      <c r="A1580" s="13"/>
    </row>
    <row r="1581" ht="12.75">
      <c r="A1581" s="13"/>
    </row>
    <row r="1582" ht="12.75">
      <c r="A1582" s="13"/>
    </row>
    <row r="1583" ht="12.75">
      <c r="A1583" s="13"/>
    </row>
    <row r="1584" ht="12.75">
      <c r="A1584" s="13"/>
    </row>
    <row r="1585" ht="12.75">
      <c r="A1585" s="13"/>
    </row>
    <row r="1586" ht="12.75">
      <c r="A1586" s="13"/>
    </row>
    <row r="1587" ht="12.75">
      <c r="A1587" s="13"/>
    </row>
    <row r="1588" ht="12.75">
      <c r="A1588" s="13"/>
    </row>
    <row r="1589" ht="12.75">
      <c r="A1589" s="13"/>
    </row>
    <row r="1590" ht="12.75">
      <c r="A1590" s="13"/>
    </row>
    <row r="1591" ht="12.75">
      <c r="A1591" s="13"/>
    </row>
    <row r="1592" ht="12.75">
      <c r="A1592" s="13"/>
    </row>
    <row r="1593" ht="12.75">
      <c r="A1593" s="13"/>
    </row>
    <row r="1594" ht="12.75">
      <c r="A1594" s="13"/>
    </row>
    <row r="1595" ht="12.75">
      <c r="A1595" s="13"/>
    </row>
    <row r="1596" ht="12.75">
      <c r="A1596" s="13"/>
    </row>
    <row r="1597" ht="12.75">
      <c r="A1597" s="13"/>
    </row>
    <row r="1598" ht="12.75">
      <c r="A1598" s="13"/>
    </row>
    <row r="1599" ht="12.75">
      <c r="A1599" s="13"/>
    </row>
    <row r="1600" ht="12.75">
      <c r="A1600" s="13"/>
    </row>
    <row r="1601" ht="12.75">
      <c r="A1601" s="13"/>
    </row>
    <row r="1602" ht="12.75">
      <c r="A1602" s="13"/>
    </row>
    <row r="1603" ht="12.75">
      <c r="A1603" s="13"/>
    </row>
    <row r="1604" ht="12.75">
      <c r="A1604" s="13"/>
    </row>
    <row r="1605" ht="12.75">
      <c r="A1605" s="13"/>
    </row>
    <row r="1606" ht="12.75">
      <c r="A1606" s="13"/>
    </row>
    <row r="1607" ht="12.75">
      <c r="A1607" s="13"/>
    </row>
    <row r="1608" ht="12.75">
      <c r="A1608" s="13"/>
    </row>
    <row r="1609" ht="12.75">
      <c r="A1609" s="13"/>
    </row>
    <row r="1610" ht="12.75">
      <c r="A1610" s="13"/>
    </row>
    <row r="1611" ht="12.75">
      <c r="A1611" s="13"/>
    </row>
    <row r="1612" ht="12.75">
      <c r="A1612" s="13"/>
    </row>
    <row r="1613" ht="12.75">
      <c r="A1613" s="13"/>
    </row>
    <row r="1614" ht="12.75">
      <c r="A1614" s="13"/>
    </row>
    <row r="1615" ht="12.75">
      <c r="A1615" s="13"/>
    </row>
    <row r="1616" ht="12.75">
      <c r="A1616" s="13"/>
    </row>
    <row r="1617" ht="12.75">
      <c r="A1617" s="13"/>
    </row>
    <row r="1618" ht="12.75">
      <c r="A1618" s="13"/>
    </row>
    <row r="1619" ht="12.75">
      <c r="A1619" s="13"/>
    </row>
    <row r="1620" ht="12.75">
      <c r="A1620" s="13"/>
    </row>
    <row r="1621" ht="12.75">
      <c r="A1621" s="13"/>
    </row>
    <row r="1622" ht="12.75">
      <c r="A1622" s="13"/>
    </row>
    <row r="1623" ht="12.75">
      <c r="A1623" s="13"/>
    </row>
    <row r="1624" ht="12.75">
      <c r="A1624" s="13"/>
    </row>
    <row r="1625" ht="12.75">
      <c r="A1625" s="13"/>
    </row>
    <row r="1626" ht="12.75">
      <c r="A1626" s="13"/>
    </row>
    <row r="1627" ht="12.75">
      <c r="A1627" s="13"/>
    </row>
    <row r="1628" ht="12.75">
      <c r="A1628" s="13"/>
    </row>
    <row r="1629" ht="12.75">
      <c r="A1629" s="13"/>
    </row>
    <row r="1630" ht="12.75">
      <c r="A1630" s="13"/>
    </row>
    <row r="1631" ht="12.75">
      <c r="A1631" s="13"/>
    </row>
    <row r="1632" ht="12.75">
      <c r="A1632" s="13"/>
    </row>
    <row r="1633" ht="12.75">
      <c r="A1633" s="13"/>
    </row>
    <row r="1634" ht="12.75">
      <c r="A1634" s="13"/>
    </row>
    <row r="1635" ht="12.75">
      <c r="A1635" s="13"/>
    </row>
    <row r="1636" ht="12.75">
      <c r="A1636" s="13"/>
    </row>
    <row r="1637" ht="12.75">
      <c r="A1637" s="13"/>
    </row>
    <row r="1638" ht="12.75">
      <c r="A1638" s="13"/>
    </row>
    <row r="1639" ht="12.75">
      <c r="A1639" s="13"/>
    </row>
    <row r="1640" ht="12.75">
      <c r="A1640" s="13"/>
    </row>
    <row r="1641" ht="12.75">
      <c r="A1641" s="13"/>
    </row>
    <row r="1642" ht="12.75">
      <c r="A1642" s="13"/>
    </row>
    <row r="1643" ht="12.75">
      <c r="A1643" s="13"/>
    </row>
    <row r="1644" ht="12.75">
      <c r="A1644" s="13"/>
    </row>
    <row r="1645" ht="12.75">
      <c r="A1645" s="13"/>
    </row>
    <row r="1646" ht="12.75">
      <c r="A1646" s="13"/>
    </row>
    <row r="1647" ht="12.75">
      <c r="A1647" s="13"/>
    </row>
    <row r="1648" ht="12.75">
      <c r="A1648" s="13"/>
    </row>
    <row r="1649" ht="12.75">
      <c r="A1649" s="13"/>
    </row>
    <row r="1650" ht="12.75">
      <c r="A1650" s="13"/>
    </row>
    <row r="1651" ht="12.75">
      <c r="A1651" s="13"/>
    </row>
    <row r="1652" ht="12.75">
      <c r="A1652" s="13"/>
    </row>
    <row r="1653" ht="12.75">
      <c r="A1653" s="13"/>
    </row>
    <row r="1654" ht="12.75">
      <c r="A1654" s="13"/>
    </row>
    <row r="1655" ht="12.75">
      <c r="A1655" s="13"/>
    </row>
    <row r="1656" ht="12.75">
      <c r="A1656" s="13"/>
    </row>
    <row r="1657" ht="12.75">
      <c r="A1657" s="13"/>
    </row>
    <row r="1658" ht="12.75">
      <c r="A1658" s="13"/>
    </row>
    <row r="1659" ht="12.75">
      <c r="A1659" s="13"/>
    </row>
    <row r="1660" ht="12.75">
      <c r="A1660" s="13"/>
    </row>
    <row r="1661" ht="12.75">
      <c r="A1661" s="13"/>
    </row>
    <row r="1662" ht="12.75">
      <c r="A1662" s="13"/>
    </row>
    <row r="1663" ht="12.75">
      <c r="A1663" s="13"/>
    </row>
    <row r="1664" ht="12.75">
      <c r="A1664" s="13"/>
    </row>
    <row r="1665" ht="12.75">
      <c r="A1665" s="13"/>
    </row>
    <row r="1666" ht="12.75">
      <c r="A1666" s="13"/>
    </row>
    <row r="1667" ht="12.75">
      <c r="A1667" s="13"/>
    </row>
    <row r="1668" ht="12.75">
      <c r="A1668" s="13"/>
    </row>
    <row r="1669" ht="12.75">
      <c r="A1669" s="13"/>
    </row>
    <row r="1670" ht="12.75">
      <c r="A1670" s="13"/>
    </row>
    <row r="1671" ht="12.75">
      <c r="A1671" s="13"/>
    </row>
    <row r="1672" ht="12.75">
      <c r="A1672" s="13"/>
    </row>
    <row r="1673" ht="12.75">
      <c r="A1673" s="13"/>
    </row>
    <row r="1674" ht="12.75">
      <c r="A1674" s="13"/>
    </row>
    <row r="1675" ht="12.75">
      <c r="A1675" s="13"/>
    </row>
    <row r="1676" ht="12.75">
      <c r="A1676" s="13"/>
    </row>
    <row r="1677" ht="12.75">
      <c r="A1677" s="13"/>
    </row>
    <row r="1678" ht="12.75">
      <c r="A1678" s="13"/>
    </row>
    <row r="1679" ht="12.75">
      <c r="A1679" s="13"/>
    </row>
    <row r="1680" ht="12.75">
      <c r="A1680" s="13"/>
    </row>
    <row r="1681" ht="12.75">
      <c r="A1681" s="13"/>
    </row>
    <row r="1682" ht="12.75">
      <c r="A1682" s="13"/>
    </row>
    <row r="1683" ht="12.75">
      <c r="A1683" s="13"/>
    </row>
    <row r="1684" ht="12.75">
      <c r="A1684" s="13"/>
    </row>
    <row r="1685" ht="12.75">
      <c r="A1685" s="13"/>
    </row>
    <row r="1686" ht="12.75">
      <c r="A1686" s="13"/>
    </row>
    <row r="1687" ht="12.75">
      <c r="A1687" s="13"/>
    </row>
    <row r="1688" ht="12.75">
      <c r="A1688" s="13"/>
    </row>
    <row r="1689" ht="12.75">
      <c r="A1689" s="13"/>
    </row>
    <row r="1690" ht="12.75">
      <c r="A1690" s="13"/>
    </row>
    <row r="1691" ht="12.75">
      <c r="A1691" s="13"/>
    </row>
    <row r="1692" ht="12.75">
      <c r="A1692" s="13"/>
    </row>
    <row r="1693" ht="12.75">
      <c r="A1693" s="13"/>
    </row>
    <row r="1694" ht="12.75">
      <c r="A1694" s="13"/>
    </row>
    <row r="1695" ht="12.75">
      <c r="A1695" s="13"/>
    </row>
    <row r="1696" ht="12.75">
      <c r="A1696" s="13"/>
    </row>
    <row r="1697" ht="12.75">
      <c r="A1697" s="13"/>
    </row>
    <row r="1698" ht="12.75">
      <c r="A1698" s="13"/>
    </row>
    <row r="1699" ht="12.75">
      <c r="A1699" s="13"/>
    </row>
    <row r="1700" ht="12.75">
      <c r="A1700" s="13"/>
    </row>
    <row r="1701" ht="12.75">
      <c r="A1701" s="13"/>
    </row>
    <row r="1702" ht="12.75">
      <c r="A1702" s="13"/>
    </row>
    <row r="1703" ht="12.75">
      <c r="A1703" s="13"/>
    </row>
    <row r="1704" ht="12.75">
      <c r="A1704" s="13"/>
    </row>
    <row r="1705" ht="12.75">
      <c r="A1705" s="13"/>
    </row>
    <row r="1706" ht="12.75">
      <c r="A1706" s="13"/>
    </row>
    <row r="1707" ht="12.75">
      <c r="A1707" s="13"/>
    </row>
    <row r="1708" ht="12.75">
      <c r="A1708" s="13"/>
    </row>
    <row r="1709" ht="12.75">
      <c r="A1709" s="13"/>
    </row>
    <row r="1710" ht="12.75">
      <c r="A1710" s="13"/>
    </row>
    <row r="1711" ht="12.75">
      <c r="A1711" s="13"/>
    </row>
    <row r="1712" ht="12.75">
      <c r="A1712" s="13"/>
    </row>
    <row r="1713" ht="12.75">
      <c r="A1713" s="13"/>
    </row>
    <row r="1714" ht="12.75">
      <c r="A1714" s="13"/>
    </row>
    <row r="1715" ht="12.75">
      <c r="A1715" s="13"/>
    </row>
    <row r="1716" ht="12.75">
      <c r="A1716" s="13"/>
    </row>
    <row r="1717" ht="12.75">
      <c r="A1717" s="13"/>
    </row>
    <row r="1718" ht="12.75">
      <c r="A1718" s="13"/>
    </row>
    <row r="1719" ht="12.75">
      <c r="A1719" s="13"/>
    </row>
    <row r="1720" ht="12.75">
      <c r="A1720" s="13"/>
    </row>
    <row r="1721" ht="12.75">
      <c r="A1721" s="13"/>
    </row>
    <row r="1722" ht="12.75">
      <c r="A1722" s="13"/>
    </row>
    <row r="1723" ht="12.75">
      <c r="A1723" s="13"/>
    </row>
    <row r="1724" ht="12.75">
      <c r="A1724" s="13"/>
    </row>
    <row r="1725" ht="12.75">
      <c r="A1725" s="13"/>
    </row>
    <row r="1726" ht="12.75">
      <c r="A1726" s="13"/>
    </row>
    <row r="1727" ht="12.75">
      <c r="A1727" s="13"/>
    </row>
    <row r="1728" ht="12.75">
      <c r="A1728" s="13"/>
    </row>
    <row r="1729" ht="12.75">
      <c r="A1729" s="13"/>
    </row>
    <row r="1730" ht="12.75">
      <c r="A1730" s="13"/>
    </row>
    <row r="1731" ht="12.75">
      <c r="A1731" s="13"/>
    </row>
    <row r="1732" ht="12.75">
      <c r="A1732" s="13"/>
    </row>
    <row r="1733" ht="12.75">
      <c r="A1733" s="13"/>
    </row>
    <row r="1734" ht="12.75">
      <c r="A1734" s="13"/>
    </row>
    <row r="1735" ht="12.75">
      <c r="A1735" s="13"/>
    </row>
    <row r="1736" ht="12.75">
      <c r="A1736" s="13"/>
    </row>
    <row r="1737" ht="12.75">
      <c r="A1737" s="13"/>
    </row>
    <row r="1738" ht="12.75">
      <c r="A1738" s="13"/>
    </row>
    <row r="1739" ht="12.75">
      <c r="A1739" s="13"/>
    </row>
    <row r="1740" ht="12.75">
      <c r="A1740" s="13"/>
    </row>
    <row r="1741" ht="12.75">
      <c r="A1741" s="13"/>
    </row>
    <row r="1742" ht="12.75">
      <c r="A1742" s="13"/>
    </row>
    <row r="1743" ht="12.75">
      <c r="A1743" s="13"/>
    </row>
    <row r="1744" ht="12.75">
      <c r="A1744" s="13"/>
    </row>
    <row r="1745" ht="12.75">
      <c r="A1745" s="13"/>
    </row>
    <row r="1746" ht="12.75">
      <c r="A1746" s="13"/>
    </row>
    <row r="1747" ht="12.75">
      <c r="A1747" s="13"/>
    </row>
    <row r="1748" ht="12.75">
      <c r="A1748" s="13"/>
    </row>
    <row r="1749" ht="12.75">
      <c r="A1749" s="13"/>
    </row>
    <row r="1750" ht="12.75">
      <c r="A1750" s="13"/>
    </row>
    <row r="1751" ht="12.75">
      <c r="A1751" s="13"/>
    </row>
    <row r="1752" ht="12.75">
      <c r="A1752" s="13"/>
    </row>
    <row r="1753" ht="12.75">
      <c r="A1753" s="13"/>
    </row>
    <row r="1754" ht="12.75">
      <c r="A1754" s="13"/>
    </row>
    <row r="1755" ht="12.75">
      <c r="A1755" s="13"/>
    </row>
    <row r="1756" ht="12.75">
      <c r="A1756" s="13"/>
    </row>
    <row r="1757" ht="12.75">
      <c r="A1757" s="13"/>
    </row>
    <row r="1758" ht="12.75">
      <c r="A1758" s="13"/>
    </row>
    <row r="1759" ht="12.75">
      <c r="A1759" s="13"/>
    </row>
    <row r="1760" ht="12.75">
      <c r="A1760" s="13"/>
    </row>
    <row r="1761" ht="12.75">
      <c r="A1761" s="13"/>
    </row>
    <row r="1762" ht="12.75">
      <c r="A1762" s="13"/>
    </row>
    <row r="1763" ht="12.75">
      <c r="A1763" s="13"/>
    </row>
    <row r="1764" ht="12.75">
      <c r="A1764" s="13"/>
    </row>
    <row r="1765" ht="12.75">
      <c r="A1765" s="13"/>
    </row>
    <row r="1766" ht="12.75">
      <c r="A1766" s="13"/>
    </row>
    <row r="1767" ht="12.75">
      <c r="A1767" s="13"/>
    </row>
    <row r="1768" ht="12.75">
      <c r="A1768" s="13"/>
    </row>
    <row r="1769" ht="12.75">
      <c r="A1769" s="13"/>
    </row>
    <row r="1770" ht="12.75">
      <c r="A1770" s="13"/>
    </row>
    <row r="1771" ht="12.75">
      <c r="A1771" s="13"/>
    </row>
    <row r="1772" ht="12.75">
      <c r="A1772" s="13"/>
    </row>
    <row r="1773" ht="12.75">
      <c r="A1773" s="13"/>
    </row>
    <row r="1774" ht="12.75">
      <c r="A1774" s="13"/>
    </row>
    <row r="1775" ht="12.75">
      <c r="A1775" s="13"/>
    </row>
    <row r="1776" ht="12.75">
      <c r="A1776" s="13"/>
    </row>
    <row r="1777" ht="12.75">
      <c r="A1777" s="13"/>
    </row>
    <row r="1778" ht="12.75">
      <c r="A1778" s="13"/>
    </row>
    <row r="1779" ht="12.75">
      <c r="A1779" s="13"/>
    </row>
    <row r="1780" ht="12.75">
      <c r="A1780" s="13"/>
    </row>
    <row r="1781" ht="12.75">
      <c r="A1781" s="13"/>
    </row>
    <row r="1782" ht="12.75">
      <c r="A1782" s="13"/>
    </row>
    <row r="1783" ht="12.75">
      <c r="A1783" s="13"/>
    </row>
    <row r="1784" ht="12.75">
      <c r="A1784" s="13"/>
    </row>
    <row r="1785" ht="12.75">
      <c r="A1785" s="13"/>
    </row>
    <row r="1786" ht="12.75">
      <c r="A1786" s="13"/>
    </row>
    <row r="1787" ht="12.75">
      <c r="A1787" s="13"/>
    </row>
    <row r="1788" ht="12.75">
      <c r="A1788" s="13"/>
    </row>
    <row r="1789" ht="12.75">
      <c r="A1789" s="13"/>
    </row>
    <row r="1790" ht="12.75">
      <c r="A1790" s="13"/>
    </row>
    <row r="1791" ht="12.75">
      <c r="A1791" s="13"/>
    </row>
    <row r="1792" ht="12.75">
      <c r="A1792" s="13"/>
    </row>
    <row r="1793" ht="12.75">
      <c r="A1793" s="13"/>
    </row>
    <row r="1794" ht="12.75">
      <c r="A1794" s="13"/>
    </row>
    <row r="1795" ht="12.75">
      <c r="A1795" s="13"/>
    </row>
    <row r="1796" ht="12.75">
      <c r="A1796" s="13"/>
    </row>
    <row r="1797" ht="12.75">
      <c r="A1797" s="13"/>
    </row>
    <row r="1798" ht="12.75">
      <c r="A1798" s="13"/>
    </row>
    <row r="1799" ht="12.75">
      <c r="A1799" s="13"/>
    </row>
    <row r="1800" ht="12.75">
      <c r="A1800" s="13"/>
    </row>
    <row r="1801" ht="12.75">
      <c r="A1801" s="13"/>
    </row>
    <row r="1802" ht="12.75">
      <c r="A1802" s="13"/>
    </row>
    <row r="1803" ht="12.75">
      <c r="A1803" s="13"/>
    </row>
    <row r="1804" ht="12.75">
      <c r="A1804" s="13"/>
    </row>
    <row r="1805" ht="12.75">
      <c r="A1805" s="13"/>
    </row>
    <row r="1806" ht="12.75">
      <c r="A1806" s="13"/>
    </row>
    <row r="1807" ht="12.75">
      <c r="A1807" s="13"/>
    </row>
    <row r="1808" ht="12.75">
      <c r="A1808" s="13"/>
    </row>
    <row r="1809" ht="12.75">
      <c r="A1809" s="13"/>
    </row>
    <row r="1810" ht="12.75">
      <c r="A1810" s="13"/>
    </row>
    <row r="1811" ht="12.75">
      <c r="A1811" s="13"/>
    </row>
    <row r="1812" ht="12.75">
      <c r="A1812" s="13"/>
    </row>
    <row r="1813" ht="12.75">
      <c r="A1813" s="13"/>
    </row>
    <row r="1814" ht="12.75">
      <c r="A1814" s="13"/>
    </row>
    <row r="1815" ht="12.75">
      <c r="A1815" s="13"/>
    </row>
    <row r="1816" ht="12.75">
      <c r="A1816" s="13"/>
    </row>
    <row r="1817" ht="12.75">
      <c r="A1817" s="13"/>
    </row>
    <row r="1818" ht="12.75">
      <c r="A1818" s="13"/>
    </row>
    <row r="1819" ht="12.75">
      <c r="A1819" s="13"/>
    </row>
    <row r="1820" ht="12.75">
      <c r="A1820" s="13"/>
    </row>
    <row r="1821" ht="12.75">
      <c r="A1821" s="13"/>
    </row>
    <row r="1822" ht="12.75">
      <c r="A1822" s="13"/>
    </row>
    <row r="1823" ht="12.75">
      <c r="A1823" s="13"/>
    </row>
    <row r="1824" ht="12.75">
      <c r="A1824" s="13"/>
    </row>
    <row r="1825" ht="12.75">
      <c r="A1825" s="13"/>
    </row>
    <row r="1826" ht="12.75">
      <c r="A1826" s="13"/>
    </row>
    <row r="1827" ht="12.75">
      <c r="A1827" s="13"/>
    </row>
    <row r="1828" ht="12.75">
      <c r="A1828" s="13"/>
    </row>
    <row r="1829" ht="12.75">
      <c r="A1829" s="13"/>
    </row>
    <row r="1830" ht="12.75">
      <c r="A1830" s="13"/>
    </row>
    <row r="1831" ht="12.75">
      <c r="A1831" s="13"/>
    </row>
    <row r="1832" ht="12.75">
      <c r="A1832" s="13"/>
    </row>
    <row r="1833" ht="12.75">
      <c r="A1833" s="13"/>
    </row>
    <row r="1834" ht="12.75">
      <c r="A1834" s="13"/>
    </row>
    <row r="1835" ht="12.75">
      <c r="A1835" s="13"/>
    </row>
    <row r="1836" ht="12.75">
      <c r="A1836" s="13"/>
    </row>
    <row r="1837" ht="12.75">
      <c r="A1837" s="13"/>
    </row>
    <row r="1838" ht="12.75">
      <c r="A1838" s="13"/>
    </row>
    <row r="1839" ht="12.75">
      <c r="A1839" s="13"/>
    </row>
    <row r="1840" ht="12.75">
      <c r="A1840" s="13"/>
    </row>
    <row r="1841" ht="12.75">
      <c r="A1841" s="13"/>
    </row>
    <row r="1842" ht="12.75">
      <c r="A1842" s="13"/>
    </row>
    <row r="1843" ht="12.75">
      <c r="A1843" s="13"/>
    </row>
    <row r="1844" ht="12.75">
      <c r="A1844" s="13"/>
    </row>
    <row r="1845" ht="12.75">
      <c r="A1845" s="13"/>
    </row>
    <row r="1846" ht="12.75">
      <c r="A1846" s="13"/>
    </row>
    <row r="1847" ht="12.75">
      <c r="A1847" s="13"/>
    </row>
    <row r="1848" ht="12.75">
      <c r="A1848" s="13"/>
    </row>
    <row r="1849" ht="12.75">
      <c r="A1849" s="13"/>
    </row>
    <row r="1850" ht="12.75">
      <c r="A1850" s="13"/>
    </row>
    <row r="1851" ht="12.75">
      <c r="A1851" s="13"/>
    </row>
    <row r="1852" ht="12.75">
      <c r="A1852" s="13"/>
    </row>
    <row r="1853" ht="12.75">
      <c r="A1853" s="13"/>
    </row>
    <row r="1854" ht="12.75">
      <c r="A1854" s="13"/>
    </row>
    <row r="1855" ht="12.75">
      <c r="A1855" s="13"/>
    </row>
    <row r="1856" ht="12.75">
      <c r="A1856" s="13"/>
    </row>
    <row r="1857" ht="12.75">
      <c r="A1857" s="13"/>
    </row>
    <row r="1858" ht="12.75">
      <c r="A1858" s="13"/>
    </row>
    <row r="1859" ht="12.75">
      <c r="A1859" s="13"/>
    </row>
    <row r="1860" ht="12.75">
      <c r="A1860" s="13"/>
    </row>
    <row r="1861" ht="12.75">
      <c r="A1861" s="13"/>
    </row>
    <row r="1862" ht="12.75">
      <c r="A1862" s="13"/>
    </row>
    <row r="1863" ht="12.75">
      <c r="A1863" s="13"/>
    </row>
    <row r="1864" ht="12.75">
      <c r="A1864" s="13"/>
    </row>
    <row r="1865" ht="12.75">
      <c r="A1865" s="13"/>
    </row>
    <row r="1866" ht="12.75">
      <c r="A1866" s="13"/>
    </row>
    <row r="1867" ht="12.75">
      <c r="A1867" s="13"/>
    </row>
    <row r="1868" ht="12.75">
      <c r="A1868" s="13"/>
    </row>
    <row r="1869" ht="12.75">
      <c r="A1869" s="13"/>
    </row>
    <row r="1870" ht="12.75">
      <c r="A1870" s="13"/>
    </row>
    <row r="1871" ht="12.75">
      <c r="A1871" s="13"/>
    </row>
    <row r="1872" ht="12.75">
      <c r="A1872" s="13"/>
    </row>
    <row r="1873" ht="12.75">
      <c r="A1873" s="13"/>
    </row>
    <row r="1874" ht="12.75">
      <c r="A1874" s="13"/>
    </row>
    <row r="1875" ht="12.75">
      <c r="A1875" s="13"/>
    </row>
    <row r="1876" ht="12.75">
      <c r="A1876" s="13"/>
    </row>
    <row r="1877" ht="12.75">
      <c r="A1877" s="13"/>
    </row>
    <row r="1878" ht="12.75">
      <c r="A1878" s="13"/>
    </row>
    <row r="1879" ht="12.75">
      <c r="A1879" s="13"/>
    </row>
    <row r="1880" ht="12.75">
      <c r="A1880" s="13"/>
    </row>
    <row r="1881" ht="12.75">
      <c r="A1881" s="13"/>
    </row>
    <row r="1882" ht="12.75">
      <c r="A1882" s="13"/>
    </row>
    <row r="1883" ht="12.75">
      <c r="A1883" s="13"/>
    </row>
    <row r="1884" ht="12.75">
      <c r="A1884" s="13"/>
    </row>
    <row r="1885" ht="12.75">
      <c r="A1885" s="13"/>
    </row>
    <row r="1886" ht="12.75">
      <c r="A1886" s="13"/>
    </row>
    <row r="1887" ht="12.75">
      <c r="A1887" s="13"/>
    </row>
    <row r="1888" ht="12.75">
      <c r="A1888" s="13"/>
    </row>
    <row r="1889" ht="12.75">
      <c r="A1889" s="13"/>
    </row>
    <row r="1890" ht="12.75">
      <c r="A1890" s="13"/>
    </row>
    <row r="1891" ht="12.75">
      <c r="A1891" s="13"/>
    </row>
    <row r="1892" ht="12.75">
      <c r="A1892" s="13"/>
    </row>
    <row r="1893" ht="12.75">
      <c r="A1893" s="13"/>
    </row>
    <row r="1894" ht="12.75">
      <c r="A1894" s="13"/>
    </row>
    <row r="1895" ht="12.75">
      <c r="A1895" s="13"/>
    </row>
    <row r="1896" ht="12.75">
      <c r="A1896" s="13"/>
    </row>
    <row r="1897" ht="12.75">
      <c r="A1897" s="13"/>
    </row>
    <row r="1898" ht="12.75">
      <c r="A1898" s="13"/>
    </row>
    <row r="1899" ht="12.75">
      <c r="A1899" s="13"/>
    </row>
    <row r="1900" ht="12.75">
      <c r="A1900" s="13"/>
    </row>
    <row r="1901" ht="12.75">
      <c r="A1901" s="13"/>
    </row>
    <row r="1902" ht="12.75">
      <c r="A1902" s="13"/>
    </row>
    <row r="1903" ht="12.75">
      <c r="A1903" s="13"/>
    </row>
    <row r="1904" ht="12.75">
      <c r="A1904" s="13"/>
    </row>
    <row r="1905" ht="12.75">
      <c r="A1905" s="13"/>
    </row>
    <row r="1906" ht="12.75">
      <c r="A1906" s="13"/>
    </row>
    <row r="1907" ht="12.75">
      <c r="A1907" s="13"/>
    </row>
    <row r="1908" ht="12.75">
      <c r="A1908" s="13"/>
    </row>
    <row r="1909" ht="12.75">
      <c r="A1909" s="13"/>
    </row>
    <row r="1910" ht="12.75">
      <c r="A1910" s="13"/>
    </row>
    <row r="1911" ht="12.75">
      <c r="A1911" s="13"/>
    </row>
    <row r="1912" ht="12.75">
      <c r="A1912" s="13"/>
    </row>
    <row r="1913" ht="12.75">
      <c r="A1913" s="13"/>
    </row>
    <row r="1914" ht="12.75">
      <c r="A1914" s="13"/>
    </row>
    <row r="1915" ht="12.75">
      <c r="A1915" s="13"/>
    </row>
    <row r="1916" ht="12.75">
      <c r="A1916" s="13"/>
    </row>
    <row r="1917" ht="12.75">
      <c r="A1917" s="13"/>
    </row>
    <row r="1918" ht="12.75">
      <c r="A1918" s="13"/>
    </row>
    <row r="1919" ht="12.75">
      <c r="A1919" s="13"/>
    </row>
    <row r="1920" ht="12.75">
      <c r="A1920" s="13"/>
    </row>
    <row r="1921" ht="12.75">
      <c r="A1921" s="13"/>
    </row>
    <row r="1922" ht="12.75">
      <c r="A1922" s="13"/>
    </row>
    <row r="1923" ht="12.75">
      <c r="A1923" s="13"/>
    </row>
    <row r="1924" ht="12.75">
      <c r="A1924" s="13"/>
    </row>
    <row r="1925" ht="12.75">
      <c r="A1925" s="13"/>
    </row>
    <row r="1926" ht="12.75">
      <c r="A1926" s="13"/>
    </row>
    <row r="1927" ht="12.75">
      <c r="A1927" s="13"/>
    </row>
    <row r="1928" ht="12.75">
      <c r="A1928" s="13"/>
    </row>
    <row r="1929" ht="12.75">
      <c r="A1929" s="13"/>
    </row>
    <row r="1930" ht="12.75">
      <c r="A1930" s="13"/>
    </row>
    <row r="1931" ht="12.75">
      <c r="A1931" s="13"/>
    </row>
    <row r="1932" ht="12.75">
      <c r="A1932" s="13"/>
    </row>
    <row r="1933" ht="12.75">
      <c r="A1933" s="13"/>
    </row>
    <row r="1934" ht="12.75">
      <c r="A1934" s="13"/>
    </row>
    <row r="1935" ht="12.75">
      <c r="A1935" s="13"/>
    </row>
    <row r="1936" ht="12.75">
      <c r="A1936" s="13"/>
    </row>
    <row r="1937" ht="12.75">
      <c r="A1937" s="13"/>
    </row>
    <row r="1938" ht="12.75">
      <c r="A1938" s="13"/>
    </row>
    <row r="1939" ht="12.75">
      <c r="A1939" s="13"/>
    </row>
    <row r="1940" ht="12.75">
      <c r="A1940" s="13"/>
    </row>
    <row r="1941" ht="12.75">
      <c r="A1941" s="13"/>
    </row>
    <row r="1942" ht="12.75">
      <c r="A1942" s="13"/>
    </row>
    <row r="1943" ht="12.75">
      <c r="A1943" s="13"/>
    </row>
    <row r="1944" ht="12.75">
      <c r="A1944" s="13"/>
    </row>
    <row r="1945" ht="12.75">
      <c r="A1945" s="13"/>
    </row>
    <row r="1946" ht="12.75">
      <c r="A1946" s="13"/>
    </row>
    <row r="1947" ht="12.75">
      <c r="A1947" s="13"/>
    </row>
    <row r="1948" ht="12.75">
      <c r="A1948" s="13"/>
    </row>
    <row r="1949" ht="12.75">
      <c r="A1949" s="13"/>
    </row>
    <row r="1950" ht="12.75">
      <c r="A1950" s="13"/>
    </row>
    <row r="1951" ht="12.75">
      <c r="A1951" s="13"/>
    </row>
    <row r="1952" ht="12.75">
      <c r="A1952" s="13"/>
    </row>
    <row r="1953" ht="12.75">
      <c r="A1953" s="13"/>
    </row>
    <row r="1954" ht="12.75">
      <c r="A1954" s="13"/>
    </row>
    <row r="1955" ht="12.75">
      <c r="A1955" s="13"/>
    </row>
    <row r="1956" ht="12.75">
      <c r="A1956" s="13"/>
    </row>
    <row r="1957" ht="12.75">
      <c r="A1957" s="13"/>
    </row>
    <row r="1958" ht="12.75">
      <c r="A1958" s="13"/>
    </row>
    <row r="1959" ht="12.75">
      <c r="A1959" s="13"/>
    </row>
    <row r="1960" ht="12.75">
      <c r="A1960" s="13"/>
    </row>
    <row r="1961" ht="12.75">
      <c r="A1961" s="13"/>
    </row>
    <row r="1962" ht="12.75">
      <c r="A1962" s="13"/>
    </row>
    <row r="1963" ht="12.75">
      <c r="A1963" s="13"/>
    </row>
    <row r="1964" ht="12.75">
      <c r="A1964" s="13"/>
    </row>
    <row r="1965" ht="12.75">
      <c r="A1965" s="13"/>
    </row>
    <row r="1966" ht="12.75">
      <c r="A1966" s="13"/>
    </row>
    <row r="1967" ht="12.75">
      <c r="A1967" s="13"/>
    </row>
    <row r="1968" ht="12.75">
      <c r="A1968" s="13"/>
    </row>
    <row r="1969" ht="12.75">
      <c r="A1969" s="13"/>
    </row>
    <row r="1970" ht="12.75">
      <c r="A1970" s="13"/>
    </row>
    <row r="1971" ht="12.75">
      <c r="A1971" s="13"/>
    </row>
    <row r="1972" ht="12.75">
      <c r="A1972" s="13"/>
    </row>
    <row r="1973" ht="12.75">
      <c r="A1973" s="13"/>
    </row>
    <row r="1974" ht="12.75">
      <c r="A1974" s="13"/>
    </row>
    <row r="1975" ht="12.75">
      <c r="A1975" s="13"/>
    </row>
    <row r="1976" ht="12.75">
      <c r="A1976" s="13"/>
    </row>
    <row r="1977" ht="12.75">
      <c r="A1977" s="13"/>
    </row>
    <row r="1978" ht="12.75">
      <c r="A1978" s="13"/>
    </row>
    <row r="1979" ht="12.75">
      <c r="A1979" s="13"/>
    </row>
    <row r="1980" ht="12.75">
      <c r="A1980" s="13"/>
    </row>
    <row r="1981" ht="12.75">
      <c r="A1981" s="13"/>
    </row>
    <row r="1982" ht="12.75">
      <c r="A1982" s="13"/>
    </row>
    <row r="1983" ht="12.75">
      <c r="A1983" s="13"/>
    </row>
    <row r="1984" ht="12.75">
      <c r="A1984" s="13"/>
    </row>
    <row r="1985" ht="12.75">
      <c r="A1985" s="13"/>
    </row>
    <row r="1986" ht="12.75">
      <c r="A1986" s="13"/>
    </row>
    <row r="1987" ht="12.75">
      <c r="A1987" s="13"/>
    </row>
    <row r="1988" ht="12.75">
      <c r="A1988" s="13"/>
    </row>
    <row r="1989" ht="12.75">
      <c r="A1989" s="13"/>
    </row>
    <row r="1990" ht="12.75">
      <c r="A1990" s="13"/>
    </row>
    <row r="1991" ht="12.75">
      <c r="A1991" s="13"/>
    </row>
    <row r="1992" ht="12.75">
      <c r="A1992" s="13"/>
    </row>
    <row r="1993" ht="12.75">
      <c r="A1993" s="13"/>
    </row>
    <row r="1994" ht="12.75">
      <c r="A1994" s="13"/>
    </row>
    <row r="1995" ht="12.75">
      <c r="A1995" s="13"/>
    </row>
    <row r="1996" ht="12.75">
      <c r="A1996" s="13"/>
    </row>
    <row r="1997" ht="12.75">
      <c r="A1997" s="13"/>
    </row>
    <row r="1998" ht="12.75">
      <c r="A1998" s="13"/>
    </row>
    <row r="1999" ht="12.75">
      <c r="A1999" s="13"/>
    </row>
    <row r="2000" ht="12.75">
      <c r="A2000" s="13"/>
    </row>
    <row r="2001" ht="12.75">
      <c r="A2001" s="13"/>
    </row>
    <row r="2002" ht="12.75">
      <c r="A2002" s="13"/>
    </row>
    <row r="2003" ht="12.75">
      <c r="A2003" s="13"/>
    </row>
    <row r="2004" ht="12.75">
      <c r="A2004" s="13"/>
    </row>
    <row r="2005" ht="12.75">
      <c r="A2005" s="13"/>
    </row>
    <row r="2006" ht="12.75">
      <c r="A2006" s="13"/>
    </row>
    <row r="2007" ht="12.75">
      <c r="A2007" s="13"/>
    </row>
    <row r="2008" ht="12.75">
      <c r="A2008" s="13"/>
    </row>
    <row r="2009" ht="12.75">
      <c r="A2009" s="13"/>
    </row>
    <row r="2010" ht="12.75">
      <c r="A2010" s="13"/>
    </row>
    <row r="2011" ht="12.75">
      <c r="A2011" s="13"/>
    </row>
    <row r="2012" ht="12.75">
      <c r="A2012" s="13"/>
    </row>
    <row r="2013" ht="12.75">
      <c r="A2013" s="13"/>
    </row>
    <row r="2014" ht="12.75">
      <c r="A2014" s="13"/>
    </row>
    <row r="2015" ht="12.75">
      <c r="A2015" s="13"/>
    </row>
    <row r="2016" ht="12.75">
      <c r="A2016" s="13"/>
    </row>
    <row r="2017" ht="12.75">
      <c r="A2017" s="13"/>
    </row>
    <row r="2018" ht="12.75">
      <c r="A2018" s="13"/>
    </row>
    <row r="2019" ht="12.75">
      <c r="A2019" s="13"/>
    </row>
    <row r="2020" ht="12.75">
      <c r="A2020" s="13"/>
    </row>
    <row r="2021" ht="12.75">
      <c r="A2021" s="13"/>
    </row>
    <row r="2022" ht="12.75">
      <c r="A2022" s="13"/>
    </row>
    <row r="2023" ht="12.75">
      <c r="A2023" s="13"/>
    </row>
    <row r="2024" ht="12.75">
      <c r="A2024" s="13"/>
    </row>
    <row r="2025" ht="12.75">
      <c r="A2025" s="13"/>
    </row>
    <row r="2026" ht="12.75">
      <c r="A2026" s="13"/>
    </row>
    <row r="2027" ht="12.75">
      <c r="A2027" s="13"/>
    </row>
    <row r="2028" ht="12.75">
      <c r="A2028" s="13"/>
    </row>
    <row r="2029" ht="12.75">
      <c r="A2029" s="13"/>
    </row>
    <row r="2030" ht="12.75">
      <c r="A2030" s="13"/>
    </row>
    <row r="2031" ht="12.75">
      <c r="A2031" s="13"/>
    </row>
    <row r="2032" ht="12.75">
      <c r="A2032" s="13"/>
    </row>
    <row r="2033" ht="12.75">
      <c r="A2033" s="13"/>
    </row>
    <row r="2034" ht="12.75">
      <c r="A2034" s="13"/>
    </row>
    <row r="2035" ht="12.75">
      <c r="A2035" s="13"/>
    </row>
    <row r="2036" ht="12.75">
      <c r="A2036" s="13"/>
    </row>
    <row r="2037" ht="12.75">
      <c r="A2037" s="13"/>
    </row>
    <row r="2038" ht="12.75">
      <c r="A2038" s="13"/>
    </row>
    <row r="2039" ht="12.75">
      <c r="A2039" s="13"/>
    </row>
    <row r="2040" ht="12.75">
      <c r="A2040" s="13"/>
    </row>
    <row r="2041" ht="12.75">
      <c r="A2041" s="13"/>
    </row>
    <row r="2042" ht="12.75">
      <c r="A2042" s="13"/>
    </row>
    <row r="2043" ht="12.75">
      <c r="A2043" s="13"/>
    </row>
    <row r="2044" ht="12.75">
      <c r="A2044" s="13"/>
    </row>
    <row r="2045" ht="12.75">
      <c r="A2045" s="13"/>
    </row>
    <row r="2046" ht="12.75">
      <c r="A2046" s="13"/>
    </row>
    <row r="2047" ht="12.75">
      <c r="A2047" s="13"/>
    </row>
    <row r="2048" ht="12.75">
      <c r="A2048" s="13"/>
    </row>
    <row r="2049" ht="12.75">
      <c r="A2049" s="13"/>
    </row>
    <row r="2050" ht="12.75">
      <c r="A2050" s="13"/>
    </row>
    <row r="2051" ht="12.75">
      <c r="A2051" s="13"/>
    </row>
    <row r="2052" ht="12.75">
      <c r="A2052" s="13"/>
    </row>
    <row r="2053" ht="12.75">
      <c r="A2053" s="13"/>
    </row>
    <row r="2054" ht="12.75">
      <c r="A2054" s="13"/>
    </row>
    <row r="2055" ht="12.75">
      <c r="A2055" s="13"/>
    </row>
    <row r="2056" ht="12.75">
      <c r="A2056" s="13"/>
    </row>
    <row r="2057" ht="12.75">
      <c r="A2057" s="13"/>
    </row>
    <row r="2058" ht="12.75">
      <c r="A2058" s="13"/>
    </row>
    <row r="2059" ht="12.75">
      <c r="A2059" s="13"/>
    </row>
    <row r="2060" ht="12.75">
      <c r="A2060" s="13"/>
    </row>
    <row r="2061" ht="12.75">
      <c r="A2061" s="13"/>
    </row>
    <row r="2062" ht="12.75">
      <c r="A2062" s="13"/>
    </row>
    <row r="2063" ht="12.75">
      <c r="A2063" s="13"/>
    </row>
    <row r="2064" ht="12.75">
      <c r="A2064" s="13"/>
    </row>
    <row r="2065" ht="12.75">
      <c r="A2065" s="13"/>
    </row>
    <row r="2066" ht="12.75">
      <c r="A2066" s="13"/>
    </row>
    <row r="2067" ht="12.75">
      <c r="A2067" s="13"/>
    </row>
    <row r="2068" ht="12.75">
      <c r="A2068" s="13"/>
    </row>
    <row r="2069" ht="12.75">
      <c r="A2069" s="13"/>
    </row>
    <row r="2070" ht="12.75">
      <c r="A2070" s="13"/>
    </row>
    <row r="2071" ht="12.75">
      <c r="A2071" s="13"/>
    </row>
    <row r="2072" ht="12.75">
      <c r="A2072" s="13"/>
    </row>
    <row r="2073" ht="12.75">
      <c r="A2073" s="13"/>
    </row>
    <row r="2074" ht="12.75">
      <c r="A2074" s="13"/>
    </row>
    <row r="2075" ht="12.75">
      <c r="A2075" s="13"/>
    </row>
    <row r="2076" ht="12.75">
      <c r="A2076" s="13"/>
    </row>
    <row r="2077" ht="12.75">
      <c r="A2077" s="13"/>
    </row>
    <row r="2078" ht="12.75">
      <c r="A2078" s="13"/>
    </row>
    <row r="2079" ht="12.75">
      <c r="A2079" s="13"/>
    </row>
    <row r="2080" ht="12.75">
      <c r="A2080" s="13"/>
    </row>
    <row r="2081" ht="12.75">
      <c r="A2081" s="13"/>
    </row>
    <row r="2082" ht="12.75">
      <c r="A2082" s="13"/>
    </row>
    <row r="2083" ht="12.75">
      <c r="A2083" s="13"/>
    </row>
    <row r="2084" ht="12.75">
      <c r="A2084" s="13"/>
    </row>
    <row r="2085" ht="12.75">
      <c r="A2085" s="13"/>
    </row>
    <row r="2086" ht="12.75">
      <c r="A2086" s="13"/>
    </row>
    <row r="2087" ht="12.75">
      <c r="A2087" s="13"/>
    </row>
    <row r="2088" ht="12.75">
      <c r="A2088" s="13"/>
    </row>
    <row r="2089" ht="12.75">
      <c r="A2089" s="13"/>
    </row>
    <row r="2090" ht="12.75">
      <c r="A2090" s="13"/>
    </row>
    <row r="2091" ht="12.75">
      <c r="A2091" s="13"/>
    </row>
    <row r="2092" ht="12.75">
      <c r="A2092" s="13"/>
    </row>
    <row r="2093" ht="12.75">
      <c r="A2093" s="13"/>
    </row>
    <row r="2094" ht="12.75">
      <c r="A2094" s="13"/>
    </row>
    <row r="2095" ht="12.75">
      <c r="A2095" s="13"/>
    </row>
    <row r="2096" ht="12.75">
      <c r="A2096" s="13"/>
    </row>
    <row r="2097" ht="12.75">
      <c r="A2097" s="13"/>
    </row>
    <row r="2098" ht="12.75">
      <c r="A2098" s="13"/>
    </row>
    <row r="2099" ht="12.75">
      <c r="A2099" s="13"/>
    </row>
    <row r="2100" ht="12.75">
      <c r="A2100" s="13"/>
    </row>
    <row r="2101" ht="12.75">
      <c r="A2101" s="13"/>
    </row>
    <row r="2102" ht="12.75">
      <c r="A2102" s="13"/>
    </row>
    <row r="2103" ht="12.75">
      <c r="A2103" s="13"/>
    </row>
    <row r="2104" ht="12.75">
      <c r="A2104" s="13"/>
    </row>
    <row r="2105" ht="12.75">
      <c r="A2105" s="13"/>
    </row>
    <row r="2106" ht="12.75">
      <c r="A2106" s="13"/>
    </row>
    <row r="2107" ht="12.75">
      <c r="A2107" s="13"/>
    </row>
    <row r="2108" ht="12.75">
      <c r="A2108" s="13"/>
    </row>
    <row r="2109" ht="12.75">
      <c r="A2109" s="13"/>
    </row>
    <row r="2110" ht="12.75">
      <c r="A2110" s="13"/>
    </row>
    <row r="2111" ht="12.75">
      <c r="A2111" s="13"/>
    </row>
    <row r="2112" ht="12.75">
      <c r="A2112" s="13"/>
    </row>
    <row r="2113" ht="12.75">
      <c r="A2113" s="13"/>
    </row>
    <row r="2114" ht="12.75">
      <c r="A2114" s="13"/>
    </row>
    <row r="2115" ht="12.75">
      <c r="A2115" s="13"/>
    </row>
    <row r="2116" ht="12.75">
      <c r="A2116" s="13"/>
    </row>
    <row r="2117" ht="12.75">
      <c r="A2117" s="13"/>
    </row>
    <row r="2118" ht="12.75">
      <c r="A2118" s="13"/>
    </row>
    <row r="2119" ht="12.75">
      <c r="A2119" s="13"/>
    </row>
    <row r="2120" ht="12.75">
      <c r="A2120" s="13"/>
    </row>
    <row r="2121" ht="12.75">
      <c r="A2121" s="13"/>
    </row>
    <row r="2122" ht="12.75">
      <c r="A2122" s="13"/>
    </row>
    <row r="2123" ht="12.75">
      <c r="A2123" s="13"/>
    </row>
    <row r="2124" ht="12.75">
      <c r="A2124" s="13"/>
    </row>
    <row r="2125" ht="12.75">
      <c r="A2125" s="13"/>
    </row>
    <row r="2126" ht="12.75">
      <c r="A2126" s="13"/>
    </row>
    <row r="2127" ht="12.75">
      <c r="A2127" s="13"/>
    </row>
    <row r="2128" ht="12.75">
      <c r="A2128" s="13"/>
    </row>
    <row r="2129" ht="12.75">
      <c r="A2129" s="13"/>
    </row>
    <row r="2130" ht="12.75">
      <c r="A2130" s="13"/>
    </row>
    <row r="2131" ht="12.75">
      <c r="A2131" s="13"/>
    </row>
    <row r="2132" ht="12.75">
      <c r="A2132" s="13"/>
    </row>
    <row r="2133" ht="12.75">
      <c r="A2133" s="13"/>
    </row>
    <row r="2134" ht="12.75">
      <c r="A2134" s="13"/>
    </row>
    <row r="2135" ht="12.75">
      <c r="A2135" s="13"/>
    </row>
    <row r="2136" ht="12.75">
      <c r="A2136" s="13"/>
    </row>
    <row r="2137" ht="12.75">
      <c r="A2137" s="13"/>
    </row>
    <row r="2138" ht="12.75">
      <c r="A2138" s="13"/>
    </row>
    <row r="2139" ht="12.75">
      <c r="A2139" s="13"/>
    </row>
    <row r="2140" ht="12.75">
      <c r="A2140" s="13"/>
    </row>
    <row r="2141" ht="12.75">
      <c r="A2141" s="13"/>
    </row>
    <row r="2142" ht="12.75">
      <c r="A2142" s="13"/>
    </row>
    <row r="2143" ht="12.75">
      <c r="A2143" s="13"/>
    </row>
    <row r="2144" ht="12.75">
      <c r="A2144" s="13"/>
    </row>
    <row r="2145" ht="12.75">
      <c r="A2145" s="13"/>
    </row>
    <row r="2146" ht="12.75">
      <c r="A2146" s="13"/>
    </row>
    <row r="2147" ht="12.75">
      <c r="A2147" s="13"/>
    </row>
    <row r="2148" ht="12.75">
      <c r="A2148" s="13"/>
    </row>
    <row r="2149" ht="12.75">
      <c r="A2149" s="13"/>
    </row>
    <row r="2150" ht="12.75">
      <c r="A2150" s="13"/>
    </row>
    <row r="2151" ht="12.75">
      <c r="A2151" s="13"/>
    </row>
    <row r="2152" ht="12.75">
      <c r="A2152" s="13"/>
    </row>
    <row r="2153" ht="12.75">
      <c r="A2153" s="13"/>
    </row>
    <row r="2154" ht="12.75">
      <c r="A2154" s="13"/>
    </row>
  </sheetData>
  <mergeCells count="7">
    <mergeCell ref="O265:S265"/>
    <mergeCell ref="L265:N265"/>
    <mergeCell ref="B53:H53"/>
    <mergeCell ref="B8:F8"/>
    <mergeCell ref="B97:H97"/>
    <mergeCell ref="B265:F265"/>
    <mergeCell ref="G265:K265"/>
  </mergeCells>
  <printOptions/>
  <pageMargins left="0.75" right="0.75" top="1" bottom="1" header="0.4921259845" footer="0.4921259845"/>
  <pageSetup fitToHeight="1" fitToWidth="1" horizontalDpi="300" verticalDpi="300" orientation="portrait" paperSize="9" scale="1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6"/>
  <sheetViews>
    <sheetView zoomScale="150" zoomScaleNormal="150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.7109375" style="0" customWidth="1"/>
    <col min="3" max="7" width="7.28125" style="0" customWidth="1"/>
    <col min="8" max="8" width="2.7109375" style="0" customWidth="1"/>
    <col min="9" max="9" width="7.28125" style="0" customWidth="1"/>
    <col min="10" max="10" width="5.7109375" style="0" customWidth="1"/>
    <col min="11" max="13" width="8.28125" style="0" customWidth="1"/>
    <col min="14" max="15" width="7.28125" style="0" customWidth="1"/>
    <col min="16" max="16" width="5.7109375" style="0" customWidth="1"/>
    <col min="17" max="17" width="8.28125" style="0" customWidth="1"/>
    <col min="18" max="18" width="7.28125" style="0" customWidth="1"/>
    <col min="19" max="19" width="5.7109375" style="0" customWidth="1"/>
    <col min="20" max="20" width="8.28125" style="0" customWidth="1"/>
  </cols>
  <sheetData>
    <row r="1" spans="1:20" s="50" customFormat="1" ht="9.75" customHeight="1">
      <c r="A1" s="49" t="s">
        <v>257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34" s="50" customFormat="1" ht="9.75" customHeight="1">
      <c r="A2" s="49" t="s">
        <v>270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s="50" customFormat="1" ht="9.75" customHeight="1">
      <c r="A3" s="49" t="s">
        <v>271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s="50" customFormat="1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0" customFormat="1" ht="7.5" customHeight="1">
      <c r="A5" s="5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0" customFormat="1" ht="9.75" customHeight="1">
      <c r="A6" s="52" t="s">
        <v>258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0" customFormat="1" ht="9.75" customHeight="1">
      <c r="A7" s="52" t="s">
        <v>259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s="50" customFormat="1" ht="9.75" customHeight="1">
      <c r="A8" s="52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s="50" customFormat="1" ht="9.75" customHeight="1">
      <c r="A9" s="53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s="50" customFormat="1" ht="7.5" customHeight="1">
      <c r="A10" s="54" t="s">
        <v>260</v>
      </c>
      <c r="B10" s="55"/>
      <c r="C10" s="56"/>
      <c r="D10" s="56"/>
      <c r="E10" s="56"/>
      <c r="F10" s="56"/>
      <c r="G10" s="56"/>
      <c r="H10" s="56"/>
      <c r="I10" s="54" t="s">
        <v>261</v>
      </c>
      <c r="J10" s="56"/>
      <c r="K10" s="56"/>
      <c r="L10" s="56"/>
      <c r="M10" s="56"/>
      <c r="AE10" s="49"/>
      <c r="AF10" s="49"/>
      <c r="AG10" s="49"/>
      <c r="AH10" s="49"/>
    </row>
    <row r="11" spans="1:34" s="50" customFormat="1" ht="7.5" customHeight="1">
      <c r="A11" s="57" t="s">
        <v>272</v>
      </c>
      <c r="B11" s="57" t="s">
        <v>273</v>
      </c>
      <c r="C11" s="58" t="s">
        <v>274</v>
      </c>
      <c r="D11" s="57" t="s">
        <v>275</v>
      </c>
      <c r="E11" s="58" t="s">
        <v>276</v>
      </c>
      <c r="F11" s="57" t="s">
        <v>277</v>
      </c>
      <c r="G11" s="57" t="s">
        <v>278</v>
      </c>
      <c r="H11" s="58"/>
      <c r="I11" s="57" t="s">
        <v>272</v>
      </c>
      <c r="J11" s="57" t="s">
        <v>273</v>
      </c>
      <c r="K11" s="58" t="s">
        <v>274</v>
      </c>
      <c r="L11" s="57" t="s">
        <v>275</v>
      </c>
      <c r="M11" s="58" t="s">
        <v>276</v>
      </c>
      <c r="N11" s="57" t="s">
        <v>277</v>
      </c>
      <c r="O11" s="57" t="s">
        <v>278</v>
      </c>
      <c r="AE11" s="49"/>
      <c r="AF11" s="49"/>
      <c r="AG11" s="49"/>
      <c r="AH11" s="49"/>
    </row>
    <row r="12" spans="1:34" s="50" customFormat="1" ht="7.5" customHeight="1">
      <c r="A12" s="57">
        <v>1</v>
      </c>
      <c r="B12" s="57">
        <v>213378</v>
      </c>
      <c r="C12" s="59">
        <v>241495.379</v>
      </c>
      <c r="D12" s="59">
        <v>5517</v>
      </c>
      <c r="E12" s="59">
        <v>6961</v>
      </c>
      <c r="F12" s="60">
        <f>100*D12/B12</f>
        <v>2.585552399966257</v>
      </c>
      <c r="G12" s="60">
        <f aca="true" t="shared" si="0" ref="G12:G21">100*E12/C12</f>
        <v>2.8824568109023736</v>
      </c>
      <c r="H12" s="59"/>
      <c r="I12" s="57">
        <v>1</v>
      </c>
      <c r="J12" s="57">
        <v>121558</v>
      </c>
      <c r="K12" s="59">
        <v>32981.111</v>
      </c>
      <c r="L12" s="59">
        <v>3269</v>
      </c>
      <c r="M12" s="59">
        <v>876</v>
      </c>
      <c r="N12" s="60">
        <f>100*L12/J12</f>
        <v>2.689251221639053</v>
      </c>
      <c r="O12" s="60">
        <f aca="true" t="shared" si="1" ref="O12:O21">100*M12/K12</f>
        <v>2.656065770495118</v>
      </c>
      <c r="AE12" s="49"/>
      <c r="AF12" s="49"/>
      <c r="AG12" s="49"/>
      <c r="AH12" s="49"/>
    </row>
    <row r="13" spans="1:34" s="50" customFormat="1" ht="7.5" customHeight="1">
      <c r="A13" s="57">
        <v>2000</v>
      </c>
      <c r="B13" s="57">
        <v>97257</v>
      </c>
      <c r="C13" s="59">
        <v>554175.032</v>
      </c>
      <c r="D13" s="59">
        <v>3271</v>
      </c>
      <c r="E13" s="59">
        <v>26840</v>
      </c>
      <c r="F13" s="60">
        <f aca="true" t="shared" si="2" ref="F13:F21">100*D13/B13</f>
        <v>3.3632540588338116</v>
      </c>
      <c r="G13" s="60">
        <f t="shared" si="0"/>
        <v>4.843235160403257</v>
      </c>
      <c r="H13" s="59"/>
      <c r="I13" s="57">
        <v>500</v>
      </c>
      <c r="J13" s="57">
        <v>105597</v>
      </c>
      <c r="K13" s="59">
        <v>136444.987</v>
      </c>
      <c r="L13" s="59">
        <v>3060</v>
      </c>
      <c r="M13" s="59">
        <v>3568</v>
      </c>
      <c r="N13" s="60">
        <f aca="true" t="shared" si="3" ref="N13:N21">100*L13/J13</f>
        <v>2.897809596863547</v>
      </c>
      <c r="O13" s="60">
        <f t="shared" si="1"/>
        <v>2.614973315216044</v>
      </c>
      <c r="AE13" s="49"/>
      <c r="AF13" s="49"/>
      <c r="AG13" s="49"/>
      <c r="AH13" s="49"/>
    </row>
    <row r="14" spans="1:34" s="50" customFormat="1" ht="7.5" customHeight="1">
      <c r="A14" s="58">
        <v>10000</v>
      </c>
      <c r="B14" s="57">
        <v>39198</v>
      </c>
      <c r="C14" s="59">
        <v>903986.972</v>
      </c>
      <c r="D14" s="59">
        <v>3101</v>
      </c>
      <c r="E14" s="59">
        <v>98817</v>
      </c>
      <c r="F14" s="60">
        <f t="shared" si="2"/>
        <v>7.911117914179295</v>
      </c>
      <c r="G14" s="60">
        <f t="shared" si="0"/>
        <v>10.93124160643324</v>
      </c>
      <c r="H14" s="59"/>
      <c r="I14" s="58">
        <v>2000</v>
      </c>
      <c r="J14" s="57">
        <v>102800</v>
      </c>
      <c r="K14" s="59">
        <v>508509.857</v>
      </c>
      <c r="L14" s="59">
        <v>3686</v>
      </c>
      <c r="M14" s="59">
        <v>19972</v>
      </c>
      <c r="N14" s="60">
        <f t="shared" si="3"/>
        <v>3.585603112840467</v>
      </c>
      <c r="O14" s="60">
        <f t="shared" si="1"/>
        <v>3.9275541516199164</v>
      </c>
      <c r="AE14" s="49"/>
      <c r="AF14" s="49"/>
      <c r="AG14" s="49"/>
      <c r="AH14" s="49"/>
    </row>
    <row r="15" spans="1:34" s="50" customFormat="1" ht="7.5" customHeight="1">
      <c r="A15" s="57">
        <v>50000</v>
      </c>
      <c r="B15" s="57">
        <v>6964</v>
      </c>
      <c r="C15" s="59">
        <v>477418.303</v>
      </c>
      <c r="D15" s="59">
        <v>1184</v>
      </c>
      <c r="E15" s="59">
        <v>85368</v>
      </c>
      <c r="F15" s="60">
        <f t="shared" si="2"/>
        <v>17.001723147616314</v>
      </c>
      <c r="G15" s="60">
        <f t="shared" si="0"/>
        <v>17.881174530503912</v>
      </c>
      <c r="H15" s="59"/>
      <c r="I15" s="57">
        <v>10000</v>
      </c>
      <c r="J15" s="57">
        <v>41847</v>
      </c>
      <c r="K15" s="59">
        <v>903353.842</v>
      </c>
      <c r="L15" s="59">
        <v>3089</v>
      </c>
      <c r="M15" s="59">
        <v>74975</v>
      </c>
      <c r="N15" s="60">
        <f t="shared" si="3"/>
        <v>7.381652209238416</v>
      </c>
      <c r="O15" s="60">
        <f t="shared" si="1"/>
        <v>8.299627069057177</v>
      </c>
      <c r="AE15" s="49"/>
      <c r="AF15" s="49"/>
      <c r="AG15" s="49"/>
      <c r="AH15" s="49"/>
    </row>
    <row r="16" spans="1:34" s="50" customFormat="1" ht="7.5" customHeight="1">
      <c r="A16" s="57">
        <v>100000</v>
      </c>
      <c r="B16" s="57">
        <v>4250</v>
      </c>
      <c r="C16" s="59">
        <v>662785.668</v>
      </c>
      <c r="D16" s="59">
        <v>990</v>
      </c>
      <c r="E16" s="59">
        <v>172903</v>
      </c>
      <c r="F16" s="60">
        <f t="shared" si="2"/>
        <v>23.294117647058822</v>
      </c>
      <c r="G16" s="60">
        <f t="shared" si="0"/>
        <v>26.087317265285225</v>
      </c>
      <c r="H16" s="59"/>
      <c r="I16" s="57">
        <v>50000</v>
      </c>
      <c r="J16" s="57">
        <v>7079</v>
      </c>
      <c r="K16" s="59">
        <v>487463.396</v>
      </c>
      <c r="L16" s="59">
        <v>1216</v>
      </c>
      <c r="M16" s="59">
        <v>88258</v>
      </c>
      <c r="N16" s="60">
        <f t="shared" si="3"/>
        <v>17.17756745303009</v>
      </c>
      <c r="O16" s="60">
        <f t="shared" si="1"/>
        <v>18.105564586843357</v>
      </c>
      <c r="AE16" s="49"/>
      <c r="AF16" s="49"/>
      <c r="AG16" s="49"/>
      <c r="AH16" s="49"/>
    </row>
    <row r="17" spans="1:34" s="50" customFormat="1" ht="7.5" customHeight="1">
      <c r="A17" s="57">
        <v>250000</v>
      </c>
      <c r="B17" s="57">
        <v>1473</v>
      </c>
      <c r="C17" s="59">
        <v>513491.845</v>
      </c>
      <c r="D17" s="59">
        <v>458</v>
      </c>
      <c r="E17" s="59">
        <v>161511</v>
      </c>
      <c r="F17" s="60">
        <f t="shared" si="2"/>
        <v>31.093007467752884</v>
      </c>
      <c r="G17" s="60">
        <f t="shared" si="0"/>
        <v>31.453469334065083</v>
      </c>
      <c r="H17" s="59"/>
      <c r="I17" s="57">
        <v>100000</v>
      </c>
      <c r="J17" s="57">
        <v>4423</v>
      </c>
      <c r="K17" s="59">
        <v>687203.062</v>
      </c>
      <c r="L17" s="59">
        <v>1005</v>
      </c>
      <c r="M17" s="59">
        <v>168894</v>
      </c>
      <c r="N17" s="60">
        <f t="shared" si="3"/>
        <v>22.72213429798779</v>
      </c>
      <c r="O17" s="60">
        <f t="shared" si="1"/>
        <v>24.57701505410347</v>
      </c>
      <c r="AE17" s="49"/>
      <c r="AF17" s="49"/>
      <c r="AG17" s="49"/>
      <c r="AH17" s="49"/>
    </row>
    <row r="18" spans="1:34" s="50" customFormat="1" ht="7.5" customHeight="1">
      <c r="A18" s="57">
        <v>500000</v>
      </c>
      <c r="B18" s="57">
        <v>684</v>
      </c>
      <c r="C18" s="59">
        <v>453692.706</v>
      </c>
      <c r="D18" s="59">
        <v>283</v>
      </c>
      <c r="E18" s="59">
        <v>186795</v>
      </c>
      <c r="F18" s="60">
        <f t="shared" si="2"/>
        <v>41.37426900584796</v>
      </c>
      <c r="G18" s="60">
        <f t="shared" si="0"/>
        <v>41.172140863115395</v>
      </c>
      <c r="H18" s="59"/>
      <c r="I18" s="57">
        <v>250000</v>
      </c>
      <c r="J18" s="57">
        <v>1525</v>
      </c>
      <c r="K18" s="59">
        <v>525158.46</v>
      </c>
      <c r="L18" s="59">
        <v>454</v>
      </c>
      <c r="M18" s="59">
        <v>160433</v>
      </c>
      <c r="N18" s="60">
        <f t="shared" si="3"/>
        <v>29.770491803278688</v>
      </c>
      <c r="O18" s="60">
        <f t="shared" si="1"/>
        <v>30.549445971031297</v>
      </c>
      <c r="AE18" s="49"/>
      <c r="AF18" s="49"/>
      <c r="AG18" s="49"/>
      <c r="AH18" s="49"/>
    </row>
    <row r="19" spans="1:34" s="50" customFormat="1" ht="7.5" customHeight="1">
      <c r="A19" s="57">
        <v>1000000</v>
      </c>
      <c r="B19" s="57">
        <v>381</v>
      </c>
      <c r="C19" s="59">
        <v>714187.548</v>
      </c>
      <c r="D19" s="59">
        <v>207</v>
      </c>
      <c r="E19" s="59">
        <v>414574</v>
      </c>
      <c r="F19" s="60">
        <f t="shared" si="2"/>
        <v>54.330708661417326</v>
      </c>
      <c r="G19" s="60">
        <f t="shared" si="0"/>
        <v>58.04833774559172</v>
      </c>
      <c r="H19" s="59"/>
      <c r="I19" s="57">
        <v>500000</v>
      </c>
      <c r="J19" s="57">
        <v>706</v>
      </c>
      <c r="K19" s="59">
        <v>498195.626</v>
      </c>
      <c r="L19" s="59">
        <v>276</v>
      </c>
      <c r="M19" s="59">
        <v>201533</v>
      </c>
      <c r="N19" s="60">
        <f t="shared" si="3"/>
        <v>39.093484419263454</v>
      </c>
      <c r="O19" s="60">
        <f t="shared" si="1"/>
        <v>40.45258317864075</v>
      </c>
      <c r="AE19" s="49"/>
      <c r="AF19" s="49"/>
      <c r="AG19" s="49"/>
      <c r="AH19" s="49"/>
    </row>
    <row r="20" spans="1:34" s="50" customFormat="1" ht="7.5" customHeight="1">
      <c r="A20" s="57">
        <v>5000000</v>
      </c>
      <c r="B20" s="57">
        <v>27</v>
      </c>
      <c r="C20" s="59">
        <v>250892.552</v>
      </c>
      <c r="D20" s="59">
        <v>16</v>
      </c>
      <c r="E20" s="59">
        <v>161249</v>
      </c>
      <c r="F20" s="60">
        <f t="shared" si="2"/>
        <v>59.25925925925926</v>
      </c>
      <c r="G20" s="60">
        <f t="shared" si="0"/>
        <v>64.27014222407048</v>
      </c>
      <c r="H20" s="59"/>
      <c r="I20" s="57">
        <v>1000000</v>
      </c>
      <c r="J20" s="57">
        <v>353</v>
      </c>
      <c r="K20" s="59">
        <v>494298.934</v>
      </c>
      <c r="L20" s="59">
        <v>172</v>
      </c>
      <c r="M20" s="59">
        <v>240840</v>
      </c>
      <c r="N20" s="60">
        <f t="shared" si="3"/>
        <v>48.725212464589234</v>
      </c>
      <c r="O20" s="60">
        <f t="shared" si="1"/>
        <v>48.723552375696606</v>
      </c>
      <c r="AE20" s="49"/>
      <c r="AF20" s="49"/>
      <c r="AG20" s="49"/>
      <c r="AH20" s="49"/>
    </row>
    <row r="21" spans="1:34" s="50" customFormat="1" ht="7.5" customHeight="1">
      <c r="A21" s="57" t="s">
        <v>18</v>
      </c>
      <c r="B21" s="57">
        <v>363612</v>
      </c>
      <c r="C21" s="59">
        <v>4772126.005</v>
      </c>
      <c r="D21" s="59">
        <v>15027</v>
      </c>
      <c r="E21" s="59">
        <v>1315019</v>
      </c>
      <c r="F21" s="60">
        <f t="shared" si="2"/>
        <v>4.132701891026699</v>
      </c>
      <c r="G21" s="60">
        <f t="shared" si="0"/>
        <v>27.556250581442892</v>
      </c>
      <c r="H21" s="59"/>
      <c r="I21" s="57">
        <v>2000000</v>
      </c>
      <c r="J21" s="57">
        <v>119</v>
      </c>
      <c r="K21" s="59">
        <v>361886.336</v>
      </c>
      <c r="L21" s="59">
        <v>71</v>
      </c>
      <c r="M21" s="59">
        <v>224251</v>
      </c>
      <c r="N21" s="60">
        <f t="shared" si="3"/>
        <v>59.66386554621849</v>
      </c>
      <c r="O21" s="60">
        <f t="shared" si="1"/>
        <v>61.96724708611269</v>
      </c>
      <c r="AE21" s="49"/>
      <c r="AF21" s="49"/>
      <c r="AG21" s="49"/>
      <c r="AH21" s="49"/>
    </row>
    <row r="22" spans="1:34" s="50" customFormat="1" ht="7.5" customHeight="1">
      <c r="A22" s="57"/>
      <c r="B22" s="57"/>
      <c r="C22" s="59"/>
      <c r="D22" s="59"/>
      <c r="E22" s="59"/>
      <c r="F22" s="59"/>
      <c r="G22" s="59"/>
      <c r="H22" s="59"/>
      <c r="I22" s="57">
        <v>5000000</v>
      </c>
      <c r="J22" s="57">
        <v>17</v>
      </c>
      <c r="K22" s="59">
        <v>133043.425</v>
      </c>
      <c r="L22" s="59">
        <v>11</v>
      </c>
      <c r="M22" s="59">
        <v>91461</v>
      </c>
      <c r="N22" s="60">
        <f aca="true" t="shared" si="4" ref="N22:O25">100*L22/J22</f>
        <v>64.70588235294117</v>
      </c>
      <c r="O22" s="60">
        <f t="shared" si="4"/>
        <v>68.74522359898658</v>
      </c>
      <c r="AE22" s="49"/>
      <c r="AF22" s="49"/>
      <c r="AG22" s="49"/>
      <c r="AH22" s="49"/>
    </row>
    <row r="23" spans="1:34" s="50" customFormat="1" ht="7.5" customHeight="1">
      <c r="A23" s="57"/>
      <c r="B23" s="57"/>
      <c r="C23" s="59"/>
      <c r="D23" s="59"/>
      <c r="E23" s="59"/>
      <c r="F23" s="59"/>
      <c r="G23" s="59"/>
      <c r="H23" s="59"/>
      <c r="I23" s="57">
        <v>10000000</v>
      </c>
      <c r="J23" s="57">
        <v>7</v>
      </c>
      <c r="K23" s="59">
        <v>104774.564</v>
      </c>
      <c r="L23" s="59">
        <v>6</v>
      </c>
      <c r="M23" s="59">
        <v>88572</v>
      </c>
      <c r="N23" s="60">
        <f t="shared" si="4"/>
        <v>85.71428571428571</v>
      </c>
      <c r="O23" s="60">
        <f t="shared" si="4"/>
        <v>84.53578484946021</v>
      </c>
      <c r="AE23" s="49"/>
      <c r="AF23" s="49"/>
      <c r="AG23" s="49"/>
      <c r="AH23" s="49"/>
    </row>
    <row r="24" spans="1:34" s="50" customFormat="1" ht="7.5" customHeight="1">
      <c r="A24" s="57"/>
      <c r="B24" s="57"/>
      <c r="C24" s="59"/>
      <c r="D24" s="59"/>
      <c r="E24" s="59"/>
      <c r="F24" s="59"/>
      <c r="G24" s="59"/>
      <c r="H24" s="59"/>
      <c r="I24" s="57">
        <v>50000000</v>
      </c>
      <c r="J24" s="57">
        <v>1</v>
      </c>
      <c r="K24" s="59">
        <v>50634.46</v>
      </c>
      <c r="L24" s="59">
        <v>1</v>
      </c>
      <c r="M24" s="59">
        <v>50634</v>
      </c>
      <c r="N24" s="60">
        <f t="shared" si="4"/>
        <v>100</v>
      </c>
      <c r="O24" s="60">
        <f t="shared" si="4"/>
        <v>99.99909152778562</v>
      </c>
      <c r="AE24" s="49"/>
      <c r="AF24" s="49"/>
      <c r="AG24" s="49"/>
      <c r="AH24" s="49"/>
    </row>
    <row r="25" spans="1:15" s="50" customFormat="1" ht="7.5" customHeight="1">
      <c r="A25" s="49"/>
      <c r="B25" s="49"/>
      <c r="C25" s="49"/>
      <c r="D25" s="49"/>
      <c r="E25" s="49"/>
      <c r="F25" s="49"/>
      <c r="G25" s="49"/>
      <c r="H25" s="49"/>
      <c r="I25" s="49" t="s">
        <v>18</v>
      </c>
      <c r="J25" s="57">
        <v>386032</v>
      </c>
      <c r="K25" s="59">
        <v>4923948.06</v>
      </c>
      <c r="L25" s="59">
        <v>16316</v>
      </c>
      <c r="M25" s="59">
        <v>1414268</v>
      </c>
      <c r="N25" s="60">
        <f t="shared" si="4"/>
        <v>4.226592614083806</v>
      </c>
      <c r="O25" s="60">
        <f t="shared" si="4"/>
        <v>28.72223635925193</v>
      </c>
    </row>
    <row r="26" spans="1:13" s="50" customFormat="1" ht="7.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9"/>
      <c r="M26" s="59"/>
    </row>
    <row r="27" spans="1:18" s="50" customFormat="1" ht="7.5" customHeight="1">
      <c r="A27" s="54" t="s">
        <v>262</v>
      </c>
      <c r="B27" s="51"/>
      <c r="C27" s="56"/>
      <c r="D27"/>
      <c r="E27"/>
      <c r="F27"/>
      <c r="G27"/>
      <c r="H27"/>
      <c r="I27" s="54" t="s">
        <v>263</v>
      </c>
      <c r="J27" s="51"/>
      <c r="K27" s="56"/>
      <c r="L27" s="49"/>
      <c r="M27" s="49"/>
      <c r="N27" s="49"/>
      <c r="O27" s="49"/>
      <c r="P27" s="49"/>
      <c r="Q27" s="49"/>
      <c r="R27" s="49"/>
    </row>
    <row r="28" spans="1:18" s="50" customFormat="1" ht="7.5" customHeight="1">
      <c r="A28" s="57" t="s">
        <v>272</v>
      </c>
      <c r="B28" s="57" t="s">
        <v>273</v>
      </c>
      <c r="C28" s="58" t="s">
        <v>274</v>
      </c>
      <c r="D28" s="57" t="s">
        <v>275</v>
      </c>
      <c r="E28" s="58" t="s">
        <v>276</v>
      </c>
      <c r="F28" s="57" t="s">
        <v>277</v>
      </c>
      <c r="G28" s="57" t="s">
        <v>278</v>
      </c>
      <c r="H28" s="58"/>
      <c r="I28" s="57" t="s">
        <v>272</v>
      </c>
      <c r="J28" s="57" t="s">
        <v>273</v>
      </c>
      <c r="K28" s="58" t="s">
        <v>274</v>
      </c>
      <c r="L28" s="57" t="s">
        <v>275</v>
      </c>
      <c r="M28" s="58" t="s">
        <v>276</v>
      </c>
      <c r="N28" s="57" t="s">
        <v>277</v>
      </c>
      <c r="O28" s="57" t="s">
        <v>278</v>
      </c>
      <c r="P28" s="49"/>
      <c r="Q28" s="49"/>
      <c r="R28" s="49"/>
    </row>
    <row r="29" spans="1:18" s="50" customFormat="1" ht="7.5" customHeight="1">
      <c r="A29" s="57">
        <v>1</v>
      </c>
      <c r="B29" s="57">
        <v>119539</v>
      </c>
      <c r="C29" s="59">
        <v>30398.636</v>
      </c>
      <c r="D29" s="59">
        <v>2579</v>
      </c>
      <c r="E29" s="59">
        <v>649</v>
      </c>
      <c r="F29" s="60">
        <f>100*D29/B29</f>
        <v>2.157454889199341</v>
      </c>
      <c r="G29" s="60">
        <f aca="true" t="shared" si="5" ref="G29:G38">100*E29/C29</f>
        <v>2.1349642135258966</v>
      </c>
      <c r="H29"/>
      <c r="I29" s="57">
        <v>1</v>
      </c>
      <c r="J29" s="57">
        <v>116802</v>
      </c>
      <c r="K29" s="59">
        <v>29202.974</v>
      </c>
      <c r="L29" s="59">
        <v>2741</v>
      </c>
      <c r="M29" s="59">
        <v>662</v>
      </c>
      <c r="N29" s="60">
        <f>100*L29/J29</f>
        <v>2.3467063920138354</v>
      </c>
      <c r="O29" s="60">
        <f aca="true" t="shared" si="6" ref="O29:O42">100*M29/K29</f>
        <v>2.266892406232324</v>
      </c>
      <c r="P29" s="49"/>
      <c r="Q29" s="49"/>
      <c r="R29" s="49"/>
    </row>
    <row r="30" spans="1:18" s="50" customFormat="1" ht="7.5" customHeight="1">
      <c r="A30" s="57">
        <v>500</v>
      </c>
      <c r="B30" s="57">
        <v>102785</v>
      </c>
      <c r="C30" s="59">
        <v>129144.291</v>
      </c>
      <c r="D30" s="59">
        <v>3193</v>
      </c>
      <c r="E30" s="59">
        <v>3793</v>
      </c>
      <c r="F30" s="60">
        <f aca="true" t="shared" si="7" ref="F30:F38">100*D30/B30</f>
        <v>3.1064844092036776</v>
      </c>
      <c r="G30" s="60">
        <f t="shared" si="5"/>
        <v>2.9370249127001675</v>
      </c>
      <c r="H30"/>
      <c r="I30" s="57">
        <v>500</v>
      </c>
      <c r="J30" s="57">
        <v>101710</v>
      </c>
      <c r="K30" s="59">
        <v>127689.24</v>
      </c>
      <c r="L30" s="59">
        <v>3258</v>
      </c>
      <c r="M30" s="59">
        <v>3751</v>
      </c>
      <c r="N30" s="60">
        <f aca="true" t="shared" si="8" ref="N30:N42">100*L30/J30</f>
        <v>3.2032248549798448</v>
      </c>
      <c r="O30" s="60">
        <f t="shared" si="6"/>
        <v>2.937600693684135</v>
      </c>
      <c r="P30" s="49"/>
      <c r="Q30" s="49"/>
      <c r="R30" s="49"/>
    </row>
    <row r="31" spans="1:18" s="50" customFormat="1" ht="7.5" customHeight="1">
      <c r="A31" s="57">
        <v>2000</v>
      </c>
      <c r="B31" s="57">
        <v>103157</v>
      </c>
      <c r="C31" s="59">
        <v>496912.979</v>
      </c>
      <c r="D31" s="59">
        <v>3859</v>
      </c>
      <c r="E31" s="59">
        <v>19870</v>
      </c>
      <c r="F31" s="60">
        <f t="shared" si="7"/>
        <v>3.7408997935186172</v>
      </c>
      <c r="G31" s="60">
        <f t="shared" si="5"/>
        <v>3.9986880680772074</v>
      </c>
      <c r="H31"/>
      <c r="I31" s="57">
        <v>2000</v>
      </c>
      <c r="J31" s="57">
        <v>107733</v>
      </c>
      <c r="K31" s="59">
        <v>520228.818</v>
      </c>
      <c r="L31" s="59">
        <v>4141</v>
      </c>
      <c r="M31" s="59">
        <v>22269</v>
      </c>
      <c r="N31" s="60">
        <f t="shared" si="8"/>
        <v>3.8437618928276387</v>
      </c>
      <c r="O31" s="60">
        <f t="shared" si="6"/>
        <v>4.280616380617346</v>
      </c>
      <c r="P31" s="49"/>
      <c r="Q31" s="49"/>
      <c r="R31" s="49"/>
    </row>
    <row r="32" spans="1:18" s="50" customFormat="1" ht="7.5" customHeight="1">
      <c r="A32" s="57">
        <v>10000</v>
      </c>
      <c r="B32" s="57">
        <v>42042</v>
      </c>
      <c r="C32" s="59">
        <v>887986.395</v>
      </c>
      <c r="D32" s="59">
        <v>3024</v>
      </c>
      <c r="E32" s="59">
        <v>77531</v>
      </c>
      <c r="F32" s="60">
        <f t="shared" si="7"/>
        <v>7.192807192807193</v>
      </c>
      <c r="G32" s="60">
        <f t="shared" si="5"/>
        <v>8.731102237213893</v>
      </c>
      <c r="H32"/>
      <c r="I32" s="57">
        <v>10000</v>
      </c>
      <c r="J32" s="57">
        <v>44056</v>
      </c>
      <c r="K32" s="59">
        <v>944048.368</v>
      </c>
      <c r="L32" s="59">
        <v>3356</v>
      </c>
      <c r="M32" s="59">
        <v>84352</v>
      </c>
      <c r="N32" s="60">
        <f t="shared" si="8"/>
        <v>7.617577628472853</v>
      </c>
      <c r="O32" s="60">
        <f t="shared" si="6"/>
        <v>8.93513540823154</v>
      </c>
      <c r="P32" s="49"/>
      <c r="Q32" s="49"/>
      <c r="R32" s="49"/>
    </row>
    <row r="33" spans="1:18" s="50" customFormat="1" ht="7.5" customHeight="1">
      <c r="A33" s="57">
        <v>50000</v>
      </c>
      <c r="B33" s="57">
        <v>6876</v>
      </c>
      <c r="C33" s="59">
        <v>488141.473</v>
      </c>
      <c r="D33" s="59">
        <v>1112</v>
      </c>
      <c r="E33" s="59">
        <v>87725</v>
      </c>
      <c r="F33" s="60">
        <f t="shared" si="7"/>
        <v>16.17219313554392</v>
      </c>
      <c r="G33" s="60">
        <f t="shared" si="5"/>
        <v>17.971224501959085</v>
      </c>
      <c r="H33"/>
      <c r="I33" s="57">
        <v>50000</v>
      </c>
      <c r="J33" s="57">
        <v>7118</v>
      </c>
      <c r="K33" s="59">
        <v>492986.769</v>
      </c>
      <c r="L33" s="59">
        <v>986</v>
      </c>
      <c r="M33" s="59">
        <v>72348</v>
      </c>
      <c r="N33" s="60">
        <f t="shared" si="8"/>
        <v>13.852205675751616</v>
      </c>
      <c r="O33" s="60">
        <f t="shared" si="6"/>
        <v>14.675444565531535</v>
      </c>
      <c r="P33" s="49"/>
      <c r="Q33" s="49"/>
      <c r="R33" s="49"/>
    </row>
    <row r="34" spans="1:18" s="50" customFormat="1" ht="7.5" customHeight="1">
      <c r="A34" s="57">
        <v>100000</v>
      </c>
      <c r="B34" s="57">
        <v>4449</v>
      </c>
      <c r="C34" s="59">
        <v>698891.939</v>
      </c>
      <c r="D34" s="59">
        <v>933</v>
      </c>
      <c r="E34" s="59">
        <v>156479</v>
      </c>
      <c r="F34" s="60">
        <f t="shared" si="7"/>
        <v>20.971004720161833</v>
      </c>
      <c r="G34" s="60">
        <f t="shared" si="5"/>
        <v>22.389584321704415</v>
      </c>
      <c r="H34"/>
      <c r="I34" s="57">
        <v>100000</v>
      </c>
      <c r="J34" s="57">
        <v>4638</v>
      </c>
      <c r="K34" s="59">
        <v>723135.84</v>
      </c>
      <c r="L34" s="59">
        <v>984</v>
      </c>
      <c r="M34" s="59">
        <v>165064</v>
      </c>
      <c r="N34" s="60">
        <f t="shared" si="8"/>
        <v>21.216041397153944</v>
      </c>
      <c r="O34" s="60">
        <f t="shared" si="6"/>
        <v>22.826140106677606</v>
      </c>
      <c r="P34" s="49"/>
      <c r="Q34" s="49"/>
      <c r="R34" s="49"/>
    </row>
    <row r="35" spans="1:18" s="50" customFormat="1" ht="7.5" customHeight="1">
      <c r="A35" s="57">
        <v>250000</v>
      </c>
      <c r="B35" s="57">
        <v>1548</v>
      </c>
      <c r="C35" s="59">
        <v>553801.753</v>
      </c>
      <c r="D35" s="59">
        <v>462</v>
      </c>
      <c r="E35" s="59">
        <v>173422</v>
      </c>
      <c r="F35" s="60">
        <f t="shared" si="7"/>
        <v>29.844961240310077</v>
      </c>
      <c r="G35" s="60">
        <f t="shared" si="5"/>
        <v>31.31481600781426</v>
      </c>
      <c r="H35"/>
      <c r="I35" s="57">
        <v>250000</v>
      </c>
      <c r="J35" s="57">
        <v>1619</v>
      </c>
      <c r="K35" s="59">
        <v>576962.824</v>
      </c>
      <c r="L35" s="59">
        <v>496</v>
      </c>
      <c r="M35" s="59">
        <v>179088</v>
      </c>
      <c r="N35" s="60">
        <f t="shared" si="8"/>
        <v>30.636195182211242</v>
      </c>
      <c r="O35" s="60">
        <f t="shared" si="6"/>
        <v>31.03978151632175</v>
      </c>
      <c r="P35" s="49"/>
      <c r="Q35" s="49"/>
      <c r="R35" s="49"/>
    </row>
    <row r="36" spans="1:18" s="50" customFormat="1" ht="7.5" customHeight="1">
      <c r="A36" s="57">
        <v>500000</v>
      </c>
      <c r="B36" s="57">
        <v>724</v>
      </c>
      <c r="C36" s="59">
        <v>492494.922</v>
      </c>
      <c r="D36" s="59">
        <v>299</v>
      </c>
      <c r="E36" s="59">
        <v>211275</v>
      </c>
      <c r="F36" s="60">
        <f t="shared" si="7"/>
        <v>41.29834254143646</v>
      </c>
      <c r="G36" s="60">
        <f t="shared" si="5"/>
        <v>42.898919473529105</v>
      </c>
      <c r="H36"/>
      <c r="I36" s="57">
        <v>500000</v>
      </c>
      <c r="J36" s="57">
        <v>816</v>
      </c>
      <c r="K36" s="59">
        <v>565460.475</v>
      </c>
      <c r="L36" s="59">
        <v>319</v>
      </c>
      <c r="M36" s="59">
        <v>225230</v>
      </c>
      <c r="N36" s="60">
        <f t="shared" si="8"/>
        <v>39.09313725490196</v>
      </c>
      <c r="O36" s="60">
        <f t="shared" si="6"/>
        <v>39.83125434187067</v>
      </c>
      <c r="P36" s="49"/>
      <c r="Q36" s="49"/>
      <c r="R36" s="49"/>
    </row>
    <row r="37" spans="1:18" s="50" customFormat="1" ht="7.5" customHeight="1">
      <c r="A37" s="57">
        <v>1000000</v>
      </c>
      <c r="B37" s="57">
        <v>311</v>
      </c>
      <c r="C37" s="59">
        <v>449948.854</v>
      </c>
      <c r="D37" s="59">
        <v>151</v>
      </c>
      <c r="E37" s="59">
        <v>224184</v>
      </c>
      <c r="F37" s="60">
        <f t="shared" si="7"/>
        <v>48.553054662379424</v>
      </c>
      <c r="G37" s="60">
        <f t="shared" si="5"/>
        <v>49.82432958924705</v>
      </c>
      <c r="H37"/>
      <c r="I37" s="57">
        <v>1000000</v>
      </c>
      <c r="J37" s="57">
        <v>328</v>
      </c>
      <c r="K37" s="59">
        <v>463766.691</v>
      </c>
      <c r="L37" s="59">
        <v>171</v>
      </c>
      <c r="M37" s="59">
        <v>242045</v>
      </c>
      <c r="N37" s="60">
        <f t="shared" si="8"/>
        <v>52.13414634146341</v>
      </c>
      <c r="O37" s="60">
        <f t="shared" si="6"/>
        <v>52.19111348382715</v>
      </c>
      <c r="P37" s="49"/>
      <c r="Q37" s="49"/>
      <c r="R37" s="49"/>
    </row>
    <row r="38" spans="1:18" s="50" customFormat="1" ht="7.5" customHeight="1">
      <c r="A38" s="57">
        <v>2000000</v>
      </c>
      <c r="B38" s="57">
        <v>123</v>
      </c>
      <c r="C38" s="59">
        <v>350853.423</v>
      </c>
      <c r="D38" s="59">
        <v>78</v>
      </c>
      <c r="E38" s="59">
        <v>226405</v>
      </c>
      <c r="F38" s="60">
        <f t="shared" si="7"/>
        <v>63.41463414634146</v>
      </c>
      <c r="G38" s="60">
        <f t="shared" si="5"/>
        <v>64.52979653557492</v>
      </c>
      <c r="H38"/>
      <c r="I38" s="57">
        <v>2000000</v>
      </c>
      <c r="J38" s="57">
        <v>150</v>
      </c>
      <c r="K38" s="59">
        <v>442005.981</v>
      </c>
      <c r="L38" s="59">
        <v>83</v>
      </c>
      <c r="M38" s="59">
        <v>250116</v>
      </c>
      <c r="N38" s="60">
        <f t="shared" si="8"/>
        <v>55.333333333333336</v>
      </c>
      <c r="O38" s="60">
        <f t="shared" si="6"/>
        <v>56.58656460578528</v>
      </c>
      <c r="P38" s="49"/>
      <c r="Q38" s="49"/>
      <c r="R38" s="49"/>
    </row>
    <row r="39" spans="1:18" s="50" customFormat="1" ht="7.5" customHeight="1">
      <c r="A39" s="57">
        <v>5000000</v>
      </c>
      <c r="B39" s="57">
        <v>33</v>
      </c>
      <c r="C39" s="59">
        <v>230233.821</v>
      </c>
      <c r="D39" s="59">
        <v>25</v>
      </c>
      <c r="E39" s="59">
        <v>178788</v>
      </c>
      <c r="F39" s="60">
        <f aca="true" t="shared" si="9" ref="F39:G42">100*D39/B39</f>
        <v>75.75757575757575</v>
      </c>
      <c r="G39" s="60">
        <f t="shared" si="9"/>
        <v>77.65496799012861</v>
      </c>
      <c r="H39"/>
      <c r="I39" s="57">
        <v>5000000</v>
      </c>
      <c r="J39" s="57">
        <v>34</v>
      </c>
      <c r="K39" s="59">
        <v>234955.717</v>
      </c>
      <c r="L39" s="59">
        <v>26</v>
      </c>
      <c r="M39" s="59">
        <v>176533</v>
      </c>
      <c r="N39" s="60">
        <f t="shared" si="8"/>
        <v>76.47058823529412</v>
      </c>
      <c r="O39" s="60">
        <f t="shared" si="6"/>
        <v>75.13458376499091</v>
      </c>
      <c r="P39" s="49"/>
      <c r="Q39" s="49"/>
      <c r="R39" s="49"/>
    </row>
    <row r="40" spans="1:18" s="50" customFormat="1" ht="7.5" customHeight="1">
      <c r="A40" s="57">
        <v>10000000</v>
      </c>
      <c r="B40" s="57">
        <v>11</v>
      </c>
      <c r="C40" s="59">
        <v>214539.944</v>
      </c>
      <c r="D40" s="59">
        <v>8</v>
      </c>
      <c r="E40" s="59">
        <v>141305</v>
      </c>
      <c r="F40" s="60">
        <f t="shared" si="9"/>
        <v>72.72727272727273</v>
      </c>
      <c r="G40" s="60">
        <f t="shared" si="9"/>
        <v>65.86419170501881</v>
      </c>
      <c r="H40"/>
      <c r="I40" s="57">
        <v>10000000</v>
      </c>
      <c r="J40" s="57">
        <v>12</v>
      </c>
      <c r="K40" s="59">
        <v>252804.534</v>
      </c>
      <c r="L40" s="59">
        <v>8</v>
      </c>
      <c r="M40" s="59">
        <v>196360</v>
      </c>
      <c r="N40" s="60">
        <f t="shared" si="8"/>
        <v>66.66666666666667</v>
      </c>
      <c r="O40" s="60">
        <f t="shared" si="6"/>
        <v>77.672657563966</v>
      </c>
      <c r="P40" s="49"/>
      <c r="Q40" s="49"/>
      <c r="R40" s="49"/>
    </row>
    <row r="41" spans="1:18" s="50" customFormat="1" ht="7.5" customHeight="1">
      <c r="A41" s="57">
        <v>50000000</v>
      </c>
      <c r="B41" s="57">
        <v>3</v>
      </c>
      <c r="C41" s="59">
        <v>250457.97</v>
      </c>
      <c r="D41" s="59">
        <v>3</v>
      </c>
      <c r="E41" s="59">
        <v>250458</v>
      </c>
      <c r="F41" s="60">
        <f t="shared" si="9"/>
        <v>100</v>
      </c>
      <c r="G41" s="60">
        <f t="shared" si="9"/>
        <v>100.00001197805763</v>
      </c>
      <c r="H41"/>
      <c r="I41" s="57">
        <v>50000000</v>
      </c>
      <c r="J41" s="57">
        <v>3</v>
      </c>
      <c r="K41" s="59">
        <v>373640.482</v>
      </c>
      <c r="L41" s="59">
        <v>3</v>
      </c>
      <c r="M41" s="59">
        <v>373640</v>
      </c>
      <c r="N41" s="60">
        <f t="shared" si="8"/>
        <v>100</v>
      </c>
      <c r="O41" s="60">
        <f t="shared" si="6"/>
        <v>99.9998709989888</v>
      </c>
      <c r="P41" s="49"/>
      <c r="Q41" s="49"/>
      <c r="R41" s="49"/>
    </row>
    <row r="42" spans="1:15" s="50" customFormat="1" ht="7.5" customHeight="1">
      <c r="A42" s="57" t="s">
        <v>18</v>
      </c>
      <c r="B42" s="57">
        <v>381601</v>
      </c>
      <c r="C42" s="59">
        <v>5273806.4</v>
      </c>
      <c r="D42" s="59">
        <v>15726</v>
      </c>
      <c r="E42" s="59">
        <v>1751886</v>
      </c>
      <c r="F42" s="60">
        <f t="shared" si="9"/>
        <v>4.121058382970695</v>
      </c>
      <c r="G42" s="60">
        <f t="shared" si="9"/>
        <v>33.21862554529874</v>
      </c>
      <c r="H42"/>
      <c r="I42" s="57" t="s">
        <v>18</v>
      </c>
      <c r="J42" s="57">
        <v>385019</v>
      </c>
      <c r="K42" s="59">
        <v>5746888.713</v>
      </c>
      <c r="L42" s="59">
        <v>16572</v>
      </c>
      <c r="M42" s="59">
        <v>1991459</v>
      </c>
      <c r="N42" s="60">
        <f t="shared" si="8"/>
        <v>4.304203169194247</v>
      </c>
      <c r="O42" s="60">
        <f t="shared" si="6"/>
        <v>34.65281997709705</v>
      </c>
    </row>
    <row r="43" spans="1:13" s="50" customFormat="1" ht="7.5" customHeight="1">
      <c r="A43" s="49"/>
      <c r="B43" s="49"/>
      <c r="C43" s="49"/>
      <c r="D43" s="59"/>
      <c r="E43" s="59"/>
      <c r="F43"/>
      <c r="G43"/>
      <c r="H43"/>
      <c r="I43" s="49"/>
      <c r="J43" s="49"/>
      <c r="K43" s="49"/>
      <c r="L43" s="59"/>
      <c r="M43" s="59"/>
    </row>
    <row r="44" spans="1:34" s="50" customFormat="1" ht="7.5" customHeight="1">
      <c r="A44" s="54" t="s">
        <v>264</v>
      </c>
      <c r="B44" s="55"/>
      <c r="C44" s="56"/>
      <c r="D44" s="56"/>
      <c r="E44" s="56"/>
      <c r="F44" s="56"/>
      <c r="G44" s="56"/>
      <c r="H44" s="56"/>
      <c r="I44" s="54" t="s">
        <v>265</v>
      </c>
      <c r="J44" s="56"/>
      <c r="K44" s="56"/>
      <c r="L44" s="56"/>
      <c r="M44" s="56"/>
      <c r="AE44" s="49"/>
      <c r="AF44" s="49"/>
      <c r="AG44" s="49"/>
      <c r="AH44" s="49"/>
    </row>
    <row r="45" spans="1:34" s="50" customFormat="1" ht="7.5" customHeight="1">
      <c r="A45" s="57" t="s">
        <v>272</v>
      </c>
      <c r="B45" s="57" t="s">
        <v>273</v>
      </c>
      <c r="C45" s="58" t="s">
        <v>274</v>
      </c>
      <c r="D45" s="57" t="s">
        <v>275</v>
      </c>
      <c r="E45" s="58" t="s">
        <v>276</v>
      </c>
      <c r="F45" s="57" t="s">
        <v>277</v>
      </c>
      <c r="G45" s="57" t="s">
        <v>278</v>
      </c>
      <c r="H45" s="58"/>
      <c r="I45" s="57" t="s">
        <v>272</v>
      </c>
      <c r="J45" s="57" t="s">
        <v>273</v>
      </c>
      <c r="K45" s="58" t="s">
        <v>274</v>
      </c>
      <c r="L45" s="57" t="s">
        <v>275</v>
      </c>
      <c r="M45" s="58" t="s">
        <v>276</v>
      </c>
      <c r="N45" s="57" t="s">
        <v>277</v>
      </c>
      <c r="O45" s="57" t="s">
        <v>278</v>
      </c>
      <c r="AE45" s="49"/>
      <c r="AF45" s="49"/>
      <c r="AG45" s="49"/>
      <c r="AH45" s="49"/>
    </row>
    <row r="46" spans="1:34" s="50" customFormat="1" ht="7.5" customHeight="1">
      <c r="A46" s="57">
        <v>1</v>
      </c>
      <c r="B46" s="57">
        <v>116323</v>
      </c>
      <c r="C46" s="59">
        <v>27686.273</v>
      </c>
      <c r="D46" s="59">
        <v>2903</v>
      </c>
      <c r="E46" s="59">
        <v>680</v>
      </c>
      <c r="F46" s="60">
        <f>100*D46/B46</f>
        <v>2.4956371482853776</v>
      </c>
      <c r="G46" s="60">
        <f aca="true" t="shared" si="10" ref="G46:G59">100*E46/C46</f>
        <v>2.456090785495036</v>
      </c>
      <c r="H46" s="59"/>
      <c r="I46" s="57">
        <v>1</v>
      </c>
      <c r="J46" s="57">
        <v>103438</v>
      </c>
      <c r="K46" s="59">
        <v>26959.975</v>
      </c>
      <c r="L46" s="59">
        <v>3078</v>
      </c>
      <c r="M46" s="59">
        <v>846</v>
      </c>
      <c r="N46" s="60">
        <f>100*L46/J46</f>
        <v>2.975695585761519</v>
      </c>
      <c r="O46" s="60">
        <f aca="true" t="shared" si="11" ref="O46:O59">100*M46/K46</f>
        <v>3.137985105698355</v>
      </c>
      <c r="AE46" s="49"/>
      <c r="AF46" s="49"/>
      <c r="AG46" s="49"/>
      <c r="AH46" s="49"/>
    </row>
    <row r="47" spans="1:34" s="50" customFormat="1" ht="7.5" customHeight="1">
      <c r="A47" s="57">
        <v>500</v>
      </c>
      <c r="B47" s="57">
        <v>106807</v>
      </c>
      <c r="C47" s="59">
        <v>135161.531</v>
      </c>
      <c r="D47" s="59">
        <v>3505</v>
      </c>
      <c r="E47" s="59">
        <v>4147</v>
      </c>
      <c r="F47" s="60">
        <f aca="true" t="shared" si="12" ref="F47:F59">100*D47/B47</f>
        <v>3.2816201185315568</v>
      </c>
      <c r="G47" s="60">
        <f t="shared" si="10"/>
        <v>3.068180694105929</v>
      </c>
      <c r="H47" s="59"/>
      <c r="I47" s="57">
        <v>500</v>
      </c>
      <c r="J47" s="57">
        <v>101178</v>
      </c>
      <c r="K47" s="59">
        <v>129938.197</v>
      </c>
      <c r="L47" s="59">
        <v>4069</v>
      </c>
      <c r="M47" s="59">
        <v>4870</v>
      </c>
      <c r="N47" s="60">
        <f aca="true" t="shared" si="13" ref="N47:N59">100*L47/J47</f>
        <v>4.021625254501966</v>
      </c>
      <c r="O47" s="60">
        <f t="shared" si="11"/>
        <v>3.7479356435890825</v>
      </c>
      <c r="AE47" s="49"/>
      <c r="AF47" s="49"/>
      <c r="AG47" s="49"/>
      <c r="AH47" s="49"/>
    </row>
    <row r="48" spans="1:34" s="50" customFormat="1" ht="7.5" customHeight="1">
      <c r="A48" s="57">
        <v>2000</v>
      </c>
      <c r="B48" s="57">
        <v>114695</v>
      </c>
      <c r="C48" s="59">
        <v>562248.134</v>
      </c>
      <c r="D48" s="59">
        <v>4360</v>
      </c>
      <c r="E48" s="59">
        <v>22815</v>
      </c>
      <c r="F48" s="60">
        <f t="shared" si="12"/>
        <v>3.8013862853655347</v>
      </c>
      <c r="G48" s="60">
        <f t="shared" si="10"/>
        <v>4.057816935324858</v>
      </c>
      <c r="H48" s="59"/>
      <c r="I48" s="57">
        <v>2000</v>
      </c>
      <c r="J48" s="57">
        <v>110427</v>
      </c>
      <c r="K48" s="59">
        <v>543254.169</v>
      </c>
      <c r="L48" s="59">
        <v>4555</v>
      </c>
      <c r="M48" s="59">
        <v>22711</v>
      </c>
      <c r="N48" s="60">
        <f t="shared" si="13"/>
        <v>4.124896990772184</v>
      </c>
      <c r="O48" s="60">
        <f t="shared" si="11"/>
        <v>4.1805477612450685</v>
      </c>
      <c r="AE48" s="49"/>
      <c r="AF48" s="49"/>
      <c r="AG48" s="49"/>
      <c r="AH48" s="49"/>
    </row>
    <row r="49" spans="1:34" s="50" customFormat="1" ht="7.5" customHeight="1">
      <c r="A49" s="57">
        <v>10000</v>
      </c>
      <c r="B49" s="57">
        <v>47967</v>
      </c>
      <c r="C49" s="59">
        <v>1014215.497</v>
      </c>
      <c r="D49" s="59">
        <v>3677</v>
      </c>
      <c r="E49" s="59">
        <v>88199</v>
      </c>
      <c r="F49" s="60">
        <f t="shared" si="12"/>
        <v>7.665686826359789</v>
      </c>
      <c r="G49" s="60">
        <f t="shared" si="10"/>
        <v>8.696278084971917</v>
      </c>
      <c r="H49" s="59"/>
      <c r="I49" s="57">
        <v>10000</v>
      </c>
      <c r="J49" s="57">
        <v>48755</v>
      </c>
      <c r="K49" s="59">
        <v>1026513.206</v>
      </c>
      <c r="L49" s="59">
        <v>3961</v>
      </c>
      <c r="M49" s="59">
        <v>89132</v>
      </c>
      <c r="N49" s="60">
        <f t="shared" si="13"/>
        <v>8.124294944108296</v>
      </c>
      <c r="O49" s="60">
        <f t="shared" si="11"/>
        <v>8.682986198231141</v>
      </c>
      <c r="AE49" s="49"/>
      <c r="AF49" s="49"/>
      <c r="AG49" s="49"/>
      <c r="AH49" s="49"/>
    </row>
    <row r="50" spans="1:34" s="50" customFormat="1" ht="7.5" customHeight="1">
      <c r="A50" s="57">
        <v>50000</v>
      </c>
      <c r="B50" s="57">
        <v>7703</v>
      </c>
      <c r="C50" s="59">
        <v>532420.963</v>
      </c>
      <c r="D50" s="59">
        <v>1209</v>
      </c>
      <c r="E50" s="59">
        <v>82298</v>
      </c>
      <c r="F50" s="60">
        <f t="shared" si="12"/>
        <v>15.695183694664417</v>
      </c>
      <c r="G50" s="60">
        <f t="shared" si="10"/>
        <v>15.457317746521563</v>
      </c>
      <c r="H50" s="59"/>
      <c r="I50" s="57">
        <v>50000</v>
      </c>
      <c r="J50" s="57">
        <v>7692</v>
      </c>
      <c r="K50" s="59">
        <v>529556.416</v>
      </c>
      <c r="L50" s="59">
        <v>1150</v>
      </c>
      <c r="M50" s="59">
        <v>80626</v>
      </c>
      <c r="N50" s="60">
        <f t="shared" si="13"/>
        <v>14.950598023920957</v>
      </c>
      <c r="O50" s="60">
        <f t="shared" si="11"/>
        <v>15.225195571986045</v>
      </c>
      <c r="AE50" s="49"/>
      <c r="AF50" s="49"/>
      <c r="AG50" s="49"/>
      <c r="AH50" s="49"/>
    </row>
    <row r="51" spans="1:34" s="50" customFormat="1" ht="7.5" customHeight="1">
      <c r="A51" s="57">
        <v>100000</v>
      </c>
      <c r="B51" s="57">
        <v>5018</v>
      </c>
      <c r="C51" s="59">
        <v>776396.189</v>
      </c>
      <c r="D51" s="59">
        <v>1115</v>
      </c>
      <c r="E51" s="59">
        <v>178516</v>
      </c>
      <c r="F51" s="60">
        <f t="shared" si="12"/>
        <v>22.220007971303307</v>
      </c>
      <c r="G51" s="60">
        <f t="shared" si="10"/>
        <v>22.99290008493331</v>
      </c>
      <c r="H51" s="59"/>
      <c r="I51" s="57">
        <v>100000</v>
      </c>
      <c r="J51" s="57">
        <v>4822</v>
      </c>
      <c r="K51" s="59">
        <v>758742.785</v>
      </c>
      <c r="L51" s="59">
        <v>1013</v>
      </c>
      <c r="M51" s="59">
        <v>160469</v>
      </c>
      <c r="N51" s="60">
        <f t="shared" si="13"/>
        <v>21.007880547490668</v>
      </c>
      <c r="O51" s="60">
        <f t="shared" si="11"/>
        <v>21.14932796362604</v>
      </c>
      <c r="AE51" s="49"/>
      <c r="AF51" s="49"/>
      <c r="AG51" s="49"/>
      <c r="AH51" s="49"/>
    </row>
    <row r="52" spans="1:34" s="50" customFormat="1" ht="7.5" customHeight="1">
      <c r="A52" s="57">
        <v>250000</v>
      </c>
      <c r="B52" s="57">
        <v>1713</v>
      </c>
      <c r="C52" s="59">
        <v>602865.879</v>
      </c>
      <c r="D52" s="59">
        <v>487</v>
      </c>
      <c r="E52" s="59">
        <v>171146</v>
      </c>
      <c r="F52" s="60">
        <f t="shared" si="12"/>
        <v>28.429655575014593</v>
      </c>
      <c r="G52" s="60">
        <f t="shared" si="10"/>
        <v>28.388735531672047</v>
      </c>
      <c r="H52" s="59"/>
      <c r="I52" s="57">
        <v>250000</v>
      </c>
      <c r="J52" s="57">
        <v>1720</v>
      </c>
      <c r="K52" s="59">
        <v>605655.516</v>
      </c>
      <c r="L52" s="59">
        <v>493</v>
      </c>
      <c r="M52" s="59">
        <v>169546</v>
      </c>
      <c r="N52" s="60">
        <f t="shared" si="13"/>
        <v>28.662790697674417</v>
      </c>
      <c r="O52" s="60">
        <f t="shared" si="11"/>
        <v>27.993801017408718</v>
      </c>
      <c r="AE52" s="49"/>
      <c r="AF52" s="49"/>
      <c r="AG52" s="49"/>
      <c r="AH52" s="49"/>
    </row>
    <row r="53" spans="1:34" s="50" customFormat="1" ht="7.5" customHeight="1">
      <c r="A53" s="57">
        <v>500000</v>
      </c>
      <c r="B53" s="57">
        <v>814</v>
      </c>
      <c r="C53" s="59">
        <v>579240.211</v>
      </c>
      <c r="D53" s="59">
        <v>307</v>
      </c>
      <c r="E53" s="59">
        <v>230892</v>
      </c>
      <c r="F53" s="60">
        <f t="shared" si="12"/>
        <v>37.714987714987714</v>
      </c>
      <c r="G53" s="60">
        <f t="shared" si="10"/>
        <v>39.86118291086666</v>
      </c>
      <c r="H53" s="59"/>
      <c r="I53" s="57">
        <v>500000</v>
      </c>
      <c r="J53" s="57">
        <v>810</v>
      </c>
      <c r="K53" s="59">
        <v>554400.567</v>
      </c>
      <c r="L53" s="59">
        <v>321</v>
      </c>
      <c r="M53" s="59">
        <v>219362</v>
      </c>
      <c r="N53" s="60">
        <f t="shared" si="13"/>
        <v>39.629629629629626</v>
      </c>
      <c r="O53" s="60">
        <f t="shared" si="11"/>
        <v>39.56741985078092</v>
      </c>
      <c r="AE53" s="49"/>
      <c r="AF53" s="49"/>
      <c r="AG53" s="49"/>
      <c r="AH53" s="49"/>
    </row>
    <row r="54" spans="1:34" s="50" customFormat="1" ht="7.5" customHeight="1">
      <c r="A54" s="57">
        <v>1000000</v>
      </c>
      <c r="B54" s="57">
        <v>360</v>
      </c>
      <c r="C54" s="59">
        <v>501585.516</v>
      </c>
      <c r="D54" s="59">
        <v>184</v>
      </c>
      <c r="E54" s="59">
        <v>258698</v>
      </c>
      <c r="F54" s="60">
        <f t="shared" si="12"/>
        <v>51.111111111111114</v>
      </c>
      <c r="G54" s="60">
        <f t="shared" si="10"/>
        <v>51.57605069281945</v>
      </c>
      <c r="H54" s="59"/>
      <c r="I54" s="57">
        <v>1000000</v>
      </c>
      <c r="J54" s="57">
        <v>373</v>
      </c>
      <c r="K54" s="59">
        <v>512169.766</v>
      </c>
      <c r="L54" s="59">
        <v>192</v>
      </c>
      <c r="M54" s="59">
        <v>257653</v>
      </c>
      <c r="N54" s="60">
        <f t="shared" si="13"/>
        <v>51.474530831099194</v>
      </c>
      <c r="O54" s="60">
        <f t="shared" si="11"/>
        <v>50.306171333041945</v>
      </c>
      <c r="AE54" s="49"/>
      <c r="AF54" s="49"/>
      <c r="AG54" s="49"/>
      <c r="AH54" s="49"/>
    </row>
    <row r="55" spans="1:34" s="50" customFormat="1" ht="7.5" customHeight="1">
      <c r="A55" s="57">
        <v>2000000</v>
      </c>
      <c r="B55" s="57">
        <v>134</v>
      </c>
      <c r="C55" s="59">
        <v>389140.686</v>
      </c>
      <c r="D55" s="59">
        <v>82</v>
      </c>
      <c r="E55" s="59">
        <v>237065</v>
      </c>
      <c r="F55" s="60">
        <f t="shared" si="12"/>
        <v>61.19402985074627</v>
      </c>
      <c r="G55" s="60">
        <f t="shared" si="10"/>
        <v>60.92012696919592</v>
      </c>
      <c r="H55" s="59"/>
      <c r="I55" s="57">
        <v>2000000</v>
      </c>
      <c r="J55" s="57">
        <v>145</v>
      </c>
      <c r="K55" s="59">
        <v>425610.867</v>
      </c>
      <c r="L55" s="59">
        <v>92</v>
      </c>
      <c r="M55" s="59">
        <v>270079</v>
      </c>
      <c r="N55" s="60">
        <f t="shared" si="13"/>
        <v>63.44827586206897</v>
      </c>
      <c r="O55" s="60">
        <f t="shared" si="11"/>
        <v>63.45679138874055</v>
      </c>
      <c r="AE55" s="49"/>
      <c r="AF55" s="49"/>
      <c r="AG55" s="49"/>
      <c r="AH55" s="49"/>
    </row>
    <row r="56" spans="1:34" s="50" customFormat="1" ht="7.5" customHeight="1">
      <c r="A56" s="57">
        <v>5000000</v>
      </c>
      <c r="B56" s="57">
        <v>33</v>
      </c>
      <c r="C56" s="59">
        <v>234476.609</v>
      </c>
      <c r="D56" s="59">
        <v>22</v>
      </c>
      <c r="E56" s="59">
        <v>149431</v>
      </c>
      <c r="F56" s="60">
        <f t="shared" si="12"/>
        <v>66.66666666666667</v>
      </c>
      <c r="G56" s="60">
        <f t="shared" si="10"/>
        <v>63.72959786364021</v>
      </c>
      <c r="H56" s="59"/>
      <c r="I56" s="57">
        <v>5000000</v>
      </c>
      <c r="J56" s="57">
        <v>46</v>
      </c>
      <c r="K56" s="59">
        <v>303298.02</v>
      </c>
      <c r="L56" s="59">
        <v>30</v>
      </c>
      <c r="M56" s="59">
        <v>191769</v>
      </c>
      <c r="N56" s="60">
        <f t="shared" si="13"/>
        <v>65.21739130434783</v>
      </c>
      <c r="O56" s="60">
        <f t="shared" si="11"/>
        <v>63.22791029100684</v>
      </c>
      <c r="AE56" s="49"/>
      <c r="AF56" s="49"/>
      <c r="AG56" s="49"/>
      <c r="AH56" s="49"/>
    </row>
    <row r="57" spans="1:34" s="50" customFormat="1" ht="7.5" customHeight="1">
      <c r="A57" s="57">
        <v>10000000</v>
      </c>
      <c r="B57" s="57">
        <v>7</v>
      </c>
      <c r="C57" s="59">
        <v>106405.851</v>
      </c>
      <c r="D57" s="59">
        <v>2</v>
      </c>
      <c r="E57" s="59">
        <v>43152</v>
      </c>
      <c r="F57" s="60">
        <f t="shared" si="12"/>
        <v>28.571428571428573</v>
      </c>
      <c r="G57" s="60">
        <f t="shared" si="10"/>
        <v>40.55416087974336</v>
      </c>
      <c r="H57" s="59"/>
      <c r="I57" s="57">
        <v>10000000</v>
      </c>
      <c r="J57" s="57">
        <v>10</v>
      </c>
      <c r="K57" s="59">
        <v>179937.986</v>
      </c>
      <c r="L57" s="59">
        <v>8</v>
      </c>
      <c r="M57" s="59">
        <v>151681</v>
      </c>
      <c r="N57" s="60">
        <f t="shared" si="13"/>
        <v>80</v>
      </c>
      <c r="O57" s="60">
        <f t="shared" si="11"/>
        <v>84.29626415847513</v>
      </c>
      <c r="AE57" s="49"/>
      <c r="AF57" s="49"/>
      <c r="AG57" s="49"/>
      <c r="AH57" s="49"/>
    </row>
    <row r="58" spans="1:34" s="50" customFormat="1" ht="7.5" customHeight="1">
      <c r="A58" s="57">
        <v>50000000</v>
      </c>
      <c r="B58" s="57">
        <v>0</v>
      </c>
      <c r="C58" s="59">
        <v>0</v>
      </c>
      <c r="D58" s="59">
        <v>0</v>
      </c>
      <c r="E58" s="59">
        <v>0</v>
      </c>
      <c r="F58" s="60" t="e">
        <f t="shared" si="12"/>
        <v>#DIV/0!</v>
      </c>
      <c r="G58" s="60" t="e">
        <f t="shared" si="10"/>
        <v>#DIV/0!</v>
      </c>
      <c r="H58" s="59"/>
      <c r="I58" s="57">
        <v>50000000</v>
      </c>
      <c r="J58" s="57">
        <v>2</v>
      </c>
      <c r="K58" s="59">
        <v>144398.896</v>
      </c>
      <c r="L58" s="59">
        <v>1</v>
      </c>
      <c r="M58" s="59">
        <v>83976</v>
      </c>
      <c r="N58" s="60">
        <f t="shared" si="13"/>
        <v>50</v>
      </c>
      <c r="O58" s="60">
        <f t="shared" si="11"/>
        <v>58.15556927803658</v>
      </c>
      <c r="AE58" s="49"/>
      <c r="AF58" s="49"/>
      <c r="AG58" s="49"/>
      <c r="AH58" s="49"/>
    </row>
    <row r="59" spans="1:34" s="50" customFormat="1" ht="7.5" customHeight="1">
      <c r="A59" s="57" t="s">
        <v>18</v>
      </c>
      <c r="B59" s="57">
        <v>401574</v>
      </c>
      <c r="C59" s="59">
        <v>5461843.339</v>
      </c>
      <c r="D59" s="59">
        <v>17853</v>
      </c>
      <c r="E59" s="59">
        <v>1467039</v>
      </c>
      <c r="F59" s="60">
        <f t="shared" si="12"/>
        <v>4.44575595033543</v>
      </c>
      <c r="G59" s="60">
        <f t="shared" si="10"/>
        <v>26.85977808123288</v>
      </c>
      <c r="H59" s="59"/>
      <c r="I59" s="57" t="s">
        <v>18</v>
      </c>
      <c r="J59" s="57">
        <v>379418</v>
      </c>
      <c r="K59" s="59">
        <v>5740436.366</v>
      </c>
      <c r="L59" s="59">
        <v>18963</v>
      </c>
      <c r="M59" s="59">
        <v>1702720</v>
      </c>
      <c r="N59" s="60">
        <f t="shared" si="13"/>
        <v>4.9979178636754185</v>
      </c>
      <c r="O59" s="60">
        <f t="shared" si="11"/>
        <v>29.661856546046415</v>
      </c>
      <c r="AE59" s="49"/>
      <c r="AF59" s="49"/>
      <c r="AG59" s="49"/>
      <c r="AH59" s="49"/>
    </row>
    <row r="60" spans="1:34" s="50" customFormat="1" ht="7.5" customHeight="1">
      <c r="A60" s="57"/>
      <c r="B60" s="57"/>
      <c r="C60" s="59"/>
      <c r="D60" s="59"/>
      <c r="E60" s="59"/>
      <c r="F60"/>
      <c r="G60"/>
      <c r="H60"/>
      <c r="I60" s="49"/>
      <c r="J60" s="49"/>
      <c r="K60" s="49"/>
      <c r="L60" s="59"/>
      <c r="M60" s="59"/>
      <c r="AE60" s="49"/>
      <c r="AF60" s="49"/>
      <c r="AG60" s="49"/>
      <c r="AH60" s="49"/>
    </row>
    <row r="61" spans="1:34" s="50" customFormat="1" ht="7.5" customHeight="1">
      <c r="A61" s="54" t="s">
        <v>266</v>
      </c>
      <c r="B61" s="51"/>
      <c r="C61" s="56"/>
      <c r="D61"/>
      <c r="E61"/>
      <c r="F61"/>
      <c r="G61"/>
      <c r="H61"/>
      <c r="I61" s="54" t="s">
        <v>267</v>
      </c>
      <c r="J61" s="51"/>
      <c r="K61" s="56"/>
      <c r="L61" s="49"/>
      <c r="M61" s="59"/>
      <c r="AE61" s="49"/>
      <c r="AF61" s="49"/>
      <c r="AG61" s="49"/>
      <c r="AH61" s="49"/>
    </row>
    <row r="62" spans="1:34" s="50" customFormat="1" ht="7.5" customHeight="1">
      <c r="A62" s="57" t="s">
        <v>272</v>
      </c>
      <c r="B62" s="57" t="s">
        <v>273</v>
      </c>
      <c r="C62" s="58" t="s">
        <v>274</v>
      </c>
      <c r="D62" s="57" t="s">
        <v>275</v>
      </c>
      <c r="E62" s="58" t="s">
        <v>276</v>
      </c>
      <c r="F62" s="57" t="s">
        <v>277</v>
      </c>
      <c r="G62" s="57" t="s">
        <v>278</v>
      </c>
      <c r="H62" s="58"/>
      <c r="I62" s="57" t="s">
        <v>272</v>
      </c>
      <c r="J62" s="57" t="s">
        <v>273</v>
      </c>
      <c r="K62" s="58" t="s">
        <v>274</v>
      </c>
      <c r="L62" s="57" t="s">
        <v>275</v>
      </c>
      <c r="M62" s="58" t="s">
        <v>276</v>
      </c>
      <c r="N62" s="57" t="s">
        <v>277</v>
      </c>
      <c r="O62" s="57" t="s">
        <v>278</v>
      </c>
      <c r="AE62" s="49"/>
      <c r="AF62" s="49"/>
      <c r="AG62" s="49"/>
      <c r="AH62" s="49"/>
    </row>
    <row r="63" spans="1:34" s="50" customFormat="1" ht="7.5" customHeight="1">
      <c r="A63" s="57">
        <v>1</v>
      </c>
      <c r="B63" s="57">
        <v>98657</v>
      </c>
      <c r="C63" s="59">
        <v>24575.055</v>
      </c>
      <c r="D63" s="59">
        <v>3004</v>
      </c>
      <c r="E63" s="59">
        <v>804</v>
      </c>
      <c r="F63" s="60">
        <f>100*D63/B63</f>
        <v>3.0448929118055483</v>
      </c>
      <c r="G63" s="60">
        <f aca="true" t="shared" si="14" ref="G63:G76">100*E63/C63</f>
        <v>3.2716101754400957</v>
      </c>
      <c r="H63"/>
      <c r="I63" s="57">
        <v>1</v>
      </c>
      <c r="J63" s="59">
        <v>95522</v>
      </c>
      <c r="K63" s="59">
        <v>23554.413</v>
      </c>
      <c r="L63" s="59">
        <v>2743</v>
      </c>
      <c r="M63" s="59">
        <v>689</v>
      </c>
      <c r="N63" s="60">
        <f>100*L63/J63</f>
        <v>2.871589790833525</v>
      </c>
      <c r="O63" s="60">
        <f aca="true" t="shared" si="15" ref="O63:O76">100*M63/K63</f>
        <v>2.9251418831791733</v>
      </c>
      <c r="AE63" s="49"/>
      <c r="AF63" s="49"/>
      <c r="AG63" s="49"/>
      <c r="AH63" s="49"/>
    </row>
    <row r="64" spans="1:34" s="50" customFormat="1" ht="7.5" customHeight="1">
      <c r="A64" s="57">
        <v>500</v>
      </c>
      <c r="B64" s="57">
        <v>95590</v>
      </c>
      <c r="C64" s="59">
        <v>120662.591</v>
      </c>
      <c r="D64" s="59">
        <v>3849</v>
      </c>
      <c r="E64" s="59">
        <v>4677</v>
      </c>
      <c r="F64" s="60">
        <f aca="true" t="shared" si="16" ref="F64:F76">100*D64/B64</f>
        <v>4.026571817135683</v>
      </c>
      <c r="G64" s="60">
        <f t="shared" si="14"/>
        <v>3.8760977708492934</v>
      </c>
      <c r="H64"/>
      <c r="I64" s="57">
        <v>500</v>
      </c>
      <c r="J64" s="59">
        <v>94787</v>
      </c>
      <c r="K64" s="59">
        <v>119126.038</v>
      </c>
      <c r="L64" s="59">
        <v>3577</v>
      </c>
      <c r="M64" s="59">
        <v>4272</v>
      </c>
      <c r="N64" s="60">
        <f aca="true" t="shared" si="17" ref="N64:N76">100*L64/J64</f>
        <v>3.773724244885902</v>
      </c>
      <c r="O64" s="60">
        <f t="shared" si="15"/>
        <v>3.5861177553810695</v>
      </c>
      <c r="AE64" s="49"/>
      <c r="AF64" s="49"/>
      <c r="AG64" s="49"/>
      <c r="AH64" s="49"/>
    </row>
    <row r="65" spans="1:34" s="50" customFormat="1" ht="7.5" customHeight="1">
      <c r="A65" s="57">
        <v>2000</v>
      </c>
      <c r="B65" s="57">
        <v>104713</v>
      </c>
      <c r="C65" s="59">
        <v>533354.157</v>
      </c>
      <c r="D65" s="59">
        <v>4434</v>
      </c>
      <c r="E65" s="59">
        <v>23189</v>
      </c>
      <c r="F65" s="60">
        <f t="shared" si="16"/>
        <v>4.234431254954017</v>
      </c>
      <c r="G65" s="60">
        <f t="shared" si="14"/>
        <v>4.347767744125785</v>
      </c>
      <c r="H65"/>
      <c r="I65" s="57">
        <v>2000</v>
      </c>
      <c r="J65" s="59">
        <v>105966</v>
      </c>
      <c r="K65" s="59">
        <v>523585.874</v>
      </c>
      <c r="L65" s="59">
        <v>4465</v>
      </c>
      <c r="M65" s="59">
        <v>23097</v>
      </c>
      <c r="N65" s="60">
        <f t="shared" si="17"/>
        <v>4.213615688050885</v>
      </c>
      <c r="O65" s="60">
        <f t="shared" si="15"/>
        <v>4.4113107604579875</v>
      </c>
      <c r="AE65" s="49"/>
      <c r="AF65" s="49"/>
      <c r="AG65" s="49"/>
      <c r="AH65" s="49"/>
    </row>
    <row r="66" spans="1:34" s="50" customFormat="1" ht="7.5" customHeight="1">
      <c r="A66" s="57">
        <v>10000</v>
      </c>
      <c r="B66" s="57">
        <v>45529</v>
      </c>
      <c r="C66" s="59">
        <v>970347.065</v>
      </c>
      <c r="D66" s="59">
        <v>3559</v>
      </c>
      <c r="E66" s="59">
        <v>85191</v>
      </c>
      <c r="F66" s="60">
        <f t="shared" si="16"/>
        <v>7.816995760943574</v>
      </c>
      <c r="G66" s="60">
        <f t="shared" si="14"/>
        <v>8.779436046421186</v>
      </c>
      <c r="H66"/>
      <c r="I66" s="57">
        <v>10000</v>
      </c>
      <c r="J66" s="59">
        <v>47032</v>
      </c>
      <c r="K66" s="59">
        <v>993980.837</v>
      </c>
      <c r="L66" s="59">
        <v>3700</v>
      </c>
      <c r="M66" s="59">
        <v>88433</v>
      </c>
      <c r="N66" s="60">
        <f t="shared" si="17"/>
        <v>7.86698418098316</v>
      </c>
      <c r="O66" s="60">
        <f t="shared" si="15"/>
        <v>8.896851599967011</v>
      </c>
      <c r="AE66" s="49"/>
      <c r="AF66" s="49"/>
      <c r="AG66" s="49"/>
      <c r="AH66" s="49"/>
    </row>
    <row r="67" spans="1:34" s="50" customFormat="1" ht="7.5" customHeight="1">
      <c r="A67" s="57">
        <v>50000</v>
      </c>
      <c r="B67" s="57">
        <v>7651</v>
      </c>
      <c r="C67" s="59">
        <v>528353.148</v>
      </c>
      <c r="D67" s="59">
        <v>1134</v>
      </c>
      <c r="E67" s="59">
        <v>80749</v>
      </c>
      <c r="F67" s="60">
        <f t="shared" si="16"/>
        <v>14.821591948764867</v>
      </c>
      <c r="G67" s="60">
        <f t="shared" si="14"/>
        <v>15.283149216705338</v>
      </c>
      <c r="H67"/>
      <c r="I67" s="57">
        <v>50000</v>
      </c>
      <c r="J67" s="59">
        <v>7755</v>
      </c>
      <c r="K67" s="59">
        <v>539326.357</v>
      </c>
      <c r="L67" s="59">
        <v>1140</v>
      </c>
      <c r="M67" s="59">
        <v>84422</v>
      </c>
      <c r="N67" s="60">
        <f t="shared" si="17"/>
        <v>14.700193423597678</v>
      </c>
      <c r="O67" s="60">
        <f t="shared" si="15"/>
        <v>15.65323090634712</v>
      </c>
      <c r="AE67" s="49"/>
      <c r="AF67" s="49"/>
      <c r="AG67" s="49"/>
      <c r="AH67" s="49"/>
    </row>
    <row r="68" spans="1:34" s="50" customFormat="1" ht="7.5" customHeight="1">
      <c r="A68" s="57">
        <v>100000</v>
      </c>
      <c r="B68" s="57">
        <v>4641</v>
      </c>
      <c r="C68" s="59">
        <v>724499.454</v>
      </c>
      <c r="D68" s="59">
        <v>1016</v>
      </c>
      <c r="E68" s="59">
        <v>162800</v>
      </c>
      <c r="F68" s="60">
        <f t="shared" si="16"/>
        <v>21.89183365653954</v>
      </c>
      <c r="G68" s="60">
        <f t="shared" si="14"/>
        <v>22.470686361621468</v>
      </c>
      <c r="H68"/>
      <c r="I68" s="57">
        <v>100000</v>
      </c>
      <c r="J68" s="59">
        <v>4878</v>
      </c>
      <c r="K68" s="59">
        <v>761071.426</v>
      </c>
      <c r="L68" s="59">
        <v>1025</v>
      </c>
      <c r="M68" s="59">
        <v>166449</v>
      </c>
      <c r="N68" s="60">
        <f t="shared" si="17"/>
        <v>21.012710127101272</v>
      </c>
      <c r="O68" s="60">
        <f t="shared" si="15"/>
        <v>21.870352021335776</v>
      </c>
      <c r="AE68" s="49"/>
      <c r="AF68" s="49"/>
      <c r="AG68" s="49"/>
      <c r="AH68" s="49"/>
    </row>
    <row r="69" spans="1:34" s="50" customFormat="1" ht="7.5" customHeight="1">
      <c r="A69" s="57">
        <v>250000</v>
      </c>
      <c r="B69" s="57">
        <v>1706</v>
      </c>
      <c r="C69" s="59">
        <v>586918.921</v>
      </c>
      <c r="D69" s="59">
        <v>471</v>
      </c>
      <c r="E69" s="59">
        <v>166171</v>
      </c>
      <c r="F69" s="60">
        <f t="shared" si="16"/>
        <v>27.6084407971864</v>
      </c>
      <c r="G69" s="60">
        <f t="shared" si="14"/>
        <v>28.31242852366656</v>
      </c>
      <c r="H69"/>
      <c r="I69" s="57">
        <v>250000</v>
      </c>
      <c r="J69" s="59">
        <v>1675</v>
      </c>
      <c r="K69" s="59">
        <v>587970.721</v>
      </c>
      <c r="L69" s="59">
        <v>488</v>
      </c>
      <c r="M69" s="59">
        <v>175719</v>
      </c>
      <c r="N69" s="60">
        <f t="shared" si="17"/>
        <v>29.134328358208954</v>
      </c>
      <c r="O69" s="60">
        <f t="shared" si="15"/>
        <v>29.885671807117074</v>
      </c>
      <c r="AE69" s="49"/>
      <c r="AF69" s="49"/>
      <c r="AG69" s="49"/>
      <c r="AH69" s="49"/>
    </row>
    <row r="70" spans="1:34" s="50" customFormat="1" ht="7.5" customHeight="1">
      <c r="A70" s="57">
        <v>500000</v>
      </c>
      <c r="B70" s="57">
        <v>785</v>
      </c>
      <c r="C70" s="59">
        <v>542912.962</v>
      </c>
      <c r="D70" s="59">
        <v>282</v>
      </c>
      <c r="E70" s="59">
        <v>198147</v>
      </c>
      <c r="F70" s="60">
        <f t="shared" si="16"/>
        <v>35.92356687898089</v>
      </c>
      <c r="G70" s="60">
        <f t="shared" si="14"/>
        <v>36.497010362408695</v>
      </c>
      <c r="H70"/>
      <c r="I70" s="57">
        <v>500000</v>
      </c>
      <c r="J70" s="59">
        <v>832</v>
      </c>
      <c r="K70" s="59">
        <v>591273.726</v>
      </c>
      <c r="L70" s="59">
        <v>343</v>
      </c>
      <c r="M70" s="59">
        <v>255703</v>
      </c>
      <c r="N70" s="60">
        <f t="shared" si="17"/>
        <v>41.22596153846154</v>
      </c>
      <c r="O70" s="60">
        <f t="shared" si="15"/>
        <v>43.24612928936403</v>
      </c>
      <c r="AE70" s="49"/>
      <c r="AF70" s="49"/>
      <c r="AG70" s="49"/>
      <c r="AH70" s="49"/>
    </row>
    <row r="71" spans="1:34" s="50" customFormat="1" ht="7.5" customHeight="1">
      <c r="A71" s="57">
        <v>1000000</v>
      </c>
      <c r="B71" s="57">
        <v>383</v>
      </c>
      <c r="C71" s="59">
        <v>472425.379</v>
      </c>
      <c r="D71" s="59">
        <v>230</v>
      </c>
      <c r="E71" s="59">
        <v>259844</v>
      </c>
      <c r="F71" s="60">
        <f t="shared" si="16"/>
        <v>60.052219321148826</v>
      </c>
      <c r="G71" s="60">
        <f t="shared" si="14"/>
        <v>55.002125531448215</v>
      </c>
      <c r="H71"/>
      <c r="I71" s="57">
        <v>1000000</v>
      </c>
      <c r="J71" s="59">
        <v>379</v>
      </c>
      <c r="K71" s="59">
        <v>532314.059</v>
      </c>
      <c r="L71" s="59">
        <v>182</v>
      </c>
      <c r="M71" s="59">
        <v>264851</v>
      </c>
      <c r="N71" s="60">
        <f t="shared" si="17"/>
        <v>48.02110817941953</v>
      </c>
      <c r="O71" s="60">
        <f t="shared" si="15"/>
        <v>49.75465057179713</v>
      </c>
      <c r="AE71" s="49"/>
      <c r="AF71" s="49"/>
      <c r="AG71" s="49"/>
      <c r="AH71" s="49"/>
    </row>
    <row r="72" spans="1:34" s="50" customFormat="1" ht="7.5" customHeight="1">
      <c r="A72" s="57">
        <v>2000000</v>
      </c>
      <c r="B72" s="57">
        <v>142</v>
      </c>
      <c r="C72" s="59">
        <v>424298.387</v>
      </c>
      <c r="D72" s="59">
        <v>87</v>
      </c>
      <c r="E72" s="59">
        <v>265373</v>
      </c>
      <c r="F72" s="60">
        <f t="shared" si="16"/>
        <v>61.267605633802816</v>
      </c>
      <c r="G72" s="60">
        <f t="shared" si="14"/>
        <v>62.543956831021376</v>
      </c>
      <c r="H72"/>
      <c r="I72" s="57">
        <v>2000000</v>
      </c>
      <c r="J72" s="59">
        <v>245</v>
      </c>
      <c r="K72" s="59">
        <v>439897.393</v>
      </c>
      <c r="L72" s="59">
        <v>189</v>
      </c>
      <c r="M72" s="59">
        <v>279859</v>
      </c>
      <c r="N72" s="60">
        <f t="shared" si="17"/>
        <v>77.14285714285714</v>
      </c>
      <c r="O72" s="60">
        <f t="shared" si="15"/>
        <v>63.61915402394758</v>
      </c>
      <c r="AE72" s="49"/>
      <c r="AF72" s="49"/>
      <c r="AG72" s="49"/>
      <c r="AH72" s="49"/>
    </row>
    <row r="73" spans="1:34" s="50" customFormat="1" ht="7.5" customHeight="1">
      <c r="A73" s="57">
        <v>5000000</v>
      </c>
      <c r="B73" s="57">
        <v>29</v>
      </c>
      <c r="C73" s="59">
        <v>200930.918</v>
      </c>
      <c r="D73" s="59">
        <v>21</v>
      </c>
      <c r="E73" s="59">
        <v>144811</v>
      </c>
      <c r="F73" s="60">
        <f t="shared" si="16"/>
        <v>72.41379310344827</v>
      </c>
      <c r="G73" s="60">
        <f t="shared" si="14"/>
        <v>72.07004349624282</v>
      </c>
      <c r="H73"/>
      <c r="I73" s="57">
        <v>5000000</v>
      </c>
      <c r="J73" s="59">
        <v>30</v>
      </c>
      <c r="K73" s="59">
        <v>200604.397</v>
      </c>
      <c r="L73" s="59">
        <v>24</v>
      </c>
      <c r="M73" s="59">
        <v>160910</v>
      </c>
      <c r="N73" s="60">
        <f t="shared" si="17"/>
        <v>80</v>
      </c>
      <c r="O73" s="60">
        <f t="shared" si="15"/>
        <v>80.21259872982745</v>
      </c>
      <c r="AE73" s="49"/>
      <c r="AF73" s="49"/>
      <c r="AG73" s="49"/>
      <c r="AH73" s="49"/>
    </row>
    <row r="74" spans="1:34" s="50" customFormat="1" ht="7.5" customHeight="1">
      <c r="A74" s="57">
        <v>10000000</v>
      </c>
      <c r="B74" s="57">
        <v>10</v>
      </c>
      <c r="C74" s="59">
        <v>190704.343</v>
      </c>
      <c r="D74" s="59">
        <v>8</v>
      </c>
      <c r="E74" s="59">
        <v>166005</v>
      </c>
      <c r="F74" s="60">
        <f t="shared" si="16"/>
        <v>80</v>
      </c>
      <c r="G74" s="60">
        <f t="shared" si="14"/>
        <v>87.04835841100903</v>
      </c>
      <c r="H74"/>
      <c r="I74" s="57">
        <v>10000000</v>
      </c>
      <c r="J74" s="59">
        <v>9</v>
      </c>
      <c r="K74" s="59">
        <v>233040.638</v>
      </c>
      <c r="L74" s="59">
        <v>3</v>
      </c>
      <c r="M74" s="59">
        <v>141292</v>
      </c>
      <c r="N74" s="60">
        <f t="shared" si="17"/>
        <v>33.333333333333336</v>
      </c>
      <c r="O74" s="60">
        <f t="shared" si="15"/>
        <v>60.62976878736489</v>
      </c>
      <c r="AE74" s="49"/>
      <c r="AF74" s="49"/>
      <c r="AG74" s="49"/>
      <c r="AH74" s="49"/>
    </row>
    <row r="75" spans="1:34" s="50" customFormat="1" ht="7.5" customHeight="1">
      <c r="A75" s="57">
        <v>50000000</v>
      </c>
      <c r="B75" s="57">
        <v>0</v>
      </c>
      <c r="C75" s="59">
        <v>0</v>
      </c>
      <c r="D75" s="59">
        <v>0</v>
      </c>
      <c r="E75" s="59">
        <v>0</v>
      </c>
      <c r="F75" s="60" t="e">
        <f t="shared" si="16"/>
        <v>#DIV/0!</v>
      </c>
      <c r="G75" s="60" t="e">
        <f t="shared" si="14"/>
        <v>#DIV/0!</v>
      </c>
      <c r="H75"/>
      <c r="I75" s="57">
        <v>50000000</v>
      </c>
      <c r="J75" s="59">
        <v>3</v>
      </c>
      <c r="K75" s="59">
        <v>215978.834</v>
      </c>
      <c r="L75" s="59">
        <v>3</v>
      </c>
      <c r="M75" s="59">
        <v>215979</v>
      </c>
      <c r="N75" s="60">
        <f t="shared" si="17"/>
        <v>100</v>
      </c>
      <c r="O75" s="60">
        <f t="shared" si="15"/>
        <v>100.00007685938336</v>
      </c>
      <c r="AE75" s="49"/>
      <c r="AF75" s="49"/>
      <c r="AG75" s="49"/>
      <c r="AH75" s="49"/>
    </row>
    <row r="76" spans="1:34" s="50" customFormat="1" ht="7.5" customHeight="1">
      <c r="A76" s="57" t="s">
        <v>18</v>
      </c>
      <c r="B76" s="57">
        <v>359836</v>
      </c>
      <c r="C76" s="59">
        <v>5319982.38</v>
      </c>
      <c r="D76" s="59">
        <v>18095</v>
      </c>
      <c r="E76" s="59">
        <v>1557760</v>
      </c>
      <c r="F76" s="60">
        <f t="shared" si="16"/>
        <v>5.0286797318778556</v>
      </c>
      <c r="G76" s="60">
        <f t="shared" si="14"/>
        <v>29.281299988064998</v>
      </c>
      <c r="H76"/>
      <c r="I76" s="57" t="s">
        <v>18</v>
      </c>
      <c r="J76" s="59">
        <v>359113</v>
      </c>
      <c r="K76" s="59">
        <v>5761724.713</v>
      </c>
      <c r="L76" s="59">
        <v>17882</v>
      </c>
      <c r="M76" s="59">
        <v>1861674</v>
      </c>
      <c r="N76" s="60">
        <f t="shared" si="17"/>
        <v>4.979491135102322</v>
      </c>
      <c r="O76" s="60">
        <f t="shared" si="15"/>
        <v>32.311054288997234</v>
      </c>
      <c r="AE76" s="49"/>
      <c r="AF76" s="49"/>
      <c r="AG76" s="49"/>
      <c r="AH76" s="49"/>
    </row>
    <row r="77" spans="1:34" s="50" customFormat="1" ht="7.5" customHeight="1">
      <c r="A77" s="57"/>
      <c r="B77" s="57"/>
      <c r="C77" s="59"/>
      <c r="D77" s="59"/>
      <c r="E77" s="59"/>
      <c r="F77"/>
      <c r="G77"/>
      <c r="H77"/>
      <c r="I77" s="49"/>
      <c r="J77" s="49"/>
      <c r="K77" s="49"/>
      <c r="L77" s="59"/>
      <c r="M77" s="59"/>
      <c r="AE77" s="49"/>
      <c r="AF77" s="49"/>
      <c r="AG77" s="49"/>
      <c r="AH77" s="49"/>
    </row>
    <row r="78" spans="1:13" s="50" customFormat="1" ht="7.5" customHeight="1">
      <c r="A78" s="54" t="s">
        <v>268</v>
      </c>
      <c r="B78" s="55"/>
      <c r="C78" s="56"/>
      <c r="D78" s="56"/>
      <c r="E78" s="56"/>
      <c r="F78" s="56"/>
      <c r="G78" s="56"/>
      <c r="H78" s="56"/>
      <c r="I78" s="54" t="s">
        <v>269</v>
      </c>
      <c r="J78" s="56"/>
      <c r="K78" s="56"/>
      <c r="L78" s="56"/>
      <c r="M78" s="56"/>
    </row>
    <row r="79" spans="1:15" s="50" customFormat="1" ht="7.5" customHeight="1">
      <c r="A79" s="57" t="s">
        <v>272</v>
      </c>
      <c r="B79" s="57" t="s">
        <v>273</v>
      </c>
      <c r="C79" s="58" t="s">
        <v>274</v>
      </c>
      <c r="D79" s="57" t="s">
        <v>275</v>
      </c>
      <c r="E79" s="58" t="s">
        <v>276</v>
      </c>
      <c r="F79" s="57" t="s">
        <v>277</v>
      </c>
      <c r="G79" s="57" t="s">
        <v>278</v>
      </c>
      <c r="H79" s="58"/>
      <c r="I79" s="57" t="s">
        <v>272</v>
      </c>
      <c r="J79" s="57" t="s">
        <v>273</v>
      </c>
      <c r="K79" s="58" t="s">
        <v>274</v>
      </c>
      <c r="L79" s="57" t="s">
        <v>275</v>
      </c>
      <c r="M79" s="58" t="s">
        <v>276</v>
      </c>
      <c r="N79" s="57" t="s">
        <v>277</v>
      </c>
      <c r="O79" s="57" t="s">
        <v>278</v>
      </c>
    </row>
    <row r="80" spans="1:15" s="50" customFormat="1" ht="7.5" customHeight="1">
      <c r="A80" s="57">
        <v>1</v>
      </c>
      <c r="B80" s="57">
        <v>103128</v>
      </c>
      <c r="C80" s="59">
        <v>25276.839</v>
      </c>
      <c r="D80" s="59">
        <v>2886</v>
      </c>
      <c r="E80" s="59">
        <v>832</v>
      </c>
      <c r="F80" s="60">
        <f>100*D80/B80</f>
        <v>2.7984640446823366</v>
      </c>
      <c r="G80" s="60">
        <f aca="true" t="shared" si="18" ref="G80:G93">100*E80/C80</f>
        <v>3.2915508145619</v>
      </c>
      <c r="H80" s="59"/>
      <c r="I80" s="57">
        <v>1</v>
      </c>
      <c r="J80" s="59">
        <v>96689</v>
      </c>
      <c r="K80" s="59">
        <v>22210.21</v>
      </c>
      <c r="L80" s="59">
        <v>3276</v>
      </c>
      <c r="M80" s="59">
        <v>790</v>
      </c>
      <c r="N80" s="60">
        <f>100*L80/J80</f>
        <v>3.388182730196817</v>
      </c>
      <c r="O80" s="60">
        <f aca="true" t="shared" si="19" ref="O80:O93">100*M80/K80</f>
        <v>3.556922694562546</v>
      </c>
    </row>
    <row r="81" spans="1:15" s="50" customFormat="1" ht="7.5" customHeight="1">
      <c r="A81" s="57">
        <v>500</v>
      </c>
      <c r="B81" s="57">
        <v>93783</v>
      </c>
      <c r="C81" s="59">
        <v>118350.643</v>
      </c>
      <c r="D81" s="59">
        <v>3900</v>
      </c>
      <c r="E81" s="59">
        <v>4716</v>
      </c>
      <c r="F81" s="60">
        <f aca="true" t="shared" si="20" ref="F81:F93">100*D81/B81</f>
        <v>4.158536195259269</v>
      </c>
      <c r="G81" s="60">
        <f t="shared" si="18"/>
        <v>3.9847692251236864</v>
      </c>
      <c r="H81" s="59"/>
      <c r="I81" s="57">
        <v>500</v>
      </c>
      <c r="J81" s="59">
        <v>95144</v>
      </c>
      <c r="K81" s="59">
        <v>118774.989</v>
      </c>
      <c r="L81" s="59">
        <v>4067</v>
      </c>
      <c r="M81" s="59">
        <v>4863</v>
      </c>
      <c r="N81" s="60">
        <f aca="true" t="shared" si="21" ref="N81:N93">100*L81/J81</f>
        <v>4.274573278399059</v>
      </c>
      <c r="O81" s="60">
        <f t="shared" si="19"/>
        <v>4.094296316878632</v>
      </c>
    </row>
    <row r="82" spans="1:15" s="50" customFormat="1" ht="7.5" customHeight="1">
      <c r="A82" s="57">
        <v>2000</v>
      </c>
      <c r="B82" s="57">
        <v>100942</v>
      </c>
      <c r="C82" s="59">
        <v>511827.662</v>
      </c>
      <c r="D82" s="59">
        <v>4403</v>
      </c>
      <c r="E82" s="59">
        <v>25147</v>
      </c>
      <c r="F82" s="60">
        <f t="shared" si="20"/>
        <v>4.361910800261536</v>
      </c>
      <c r="G82" s="60">
        <f t="shared" si="18"/>
        <v>4.913177201430742</v>
      </c>
      <c r="H82" s="59"/>
      <c r="I82" s="57">
        <v>2000</v>
      </c>
      <c r="J82" s="59">
        <v>105188</v>
      </c>
      <c r="K82" s="59">
        <v>528901.259</v>
      </c>
      <c r="L82" s="59">
        <v>4935</v>
      </c>
      <c r="M82" s="59">
        <v>25554</v>
      </c>
      <c r="N82" s="60">
        <f t="shared" si="21"/>
        <v>4.691599802258813</v>
      </c>
      <c r="O82" s="60">
        <f t="shared" si="19"/>
        <v>4.831525651558338</v>
      </c>
    </row>
    <row r="83" spans="1:15" s="50" customFormat="1" ht="7.5" customHeight="1">
      <c r="A83" s="57">
        <v>10000</v>
      </c>
      <c r="B83" s="57">
        <v>45799</v>
      </c>
      <c r="C83" s="59">
        <v>977137.277</v>
      </c>
      <c r="D83" s="59">
        <v>3496</v>
      </c>
      <c r="E83" s="59">
        <v>89410</v>
      </c>
      <c r="F83" s="60">
        <f t="shared" si="20"/>
        <v>7.633354440053276</v>
      </c>
      <c r="G83" s="60">
        <f t="shared" si="18"/>
        <v>9.150198452617216</v>
      </c>
      <c r="H83" s="59"/>
      <c r="I83" s="57">
        <v>10000</v>
      </c>
      <c r="J83" s="59">
        <v>47668</v>
      </c>
      <c r="K83" s="59">
        <v>999995.081</v>
      </c>
      <c r="L83" s="59">
        <v>3619</v>
      </c>
      <c r="M83" s="59">
        <v>87463</v>
      </c>
      <c r="N83" s="60">
        <f t="shared" si="21"/>
        <v>7.592095326004867</v>
      </c>
      <c r="O83" s="60">
        <f t="shared" si="19"/>
        <v>8.746343023261332</v>
      </c>
    </row>
    <row r="84" spans="1:15" s="50" customFormat="1" ht="7.5" customHeight="1">
      <c r="A84" s="57">
        <v>50000</v>
      </c>
      <c r="B84" s="57">
        <v>7738</v>
      </c>
      <c r="C84" s="59">
        <v>528327.519</v>
      </c>
      <c r="D84" s="59">
        <v>1173</v>
      </c>
      <c r="E84" s="59">
        <v>91892</v>
      </c>
      <c r="F84" s="60">
        <f t="shared" si="20"/>
        <v>15.158955802532954</v>
      </c>
      <c r="G84" s="60">
        <f t="shared" si="18"/>
        <v>17.392998981754726</v>
      </c>
      <c r="H84" s="59"/>
      <c r="I84" s="57">
        <v>50000</v>
      </c>
      <c r="J84" s="59">
        <v>7731</v>
      </c>
      <c r="K84" s="59">
        <v>524304.846</v>
      </c>
      <c r="L84" s="59">
        <v>1178</v>
      </c>
      <c r="M84" s="59">
        <v>83750</v>
      </c>
      <c r="N84" s="60">
        <f t="shared" si="21"/>
        <v>15.237356098822922</v>
      </c>
      <c r="O84" s="60">
        <f t="shared" si="19"/>
        <v>15.973531551146486</v>
      </c>
    </row>
    <row r="85" spans="1:15" s="50" customFormat="1" ht="7.5" customHeight="1">
      <c r="A85" s="57">
        <v>100000</v>
      </c>
      <c r="B85" s="57">
        <v>4597</v>
      </c>
      <c r="C85" s="59">
        <v>711132.936</v>
      </c>
      <c r="D85" s="59">
        <v>1068</v>
      </c>
      <c r="E85" s="59">
        <v>176246</v>
      </c>
      <c r="F85" s="60">
        <f t="shared" si="20"/>
        <v>23.232542962801826</v>
      </c>
      <c r="G85" s="60">
        <f t="shared" si="18"/>
        <v>24.78383310318227</v>
      </c>
      <c r="H85" s="59"/>
      <c r="I85" s="57">
        <v>100000</v>
      </c>
      <c r="J85" s="59">
        <v>5042</v>
      </c>
      <c r="K85" s="59">
        <v>770712.249</v>
      </c>
      <c r="L85" s="59">
        <v>1122</v>
      </c>
      <c r="M85" s="59">
        <v>179985</v>
      </c>
      <c r="N85" s="60">
        <f t="shared" si="21"/>
        <v>22.253074176913923</v>
      </c>
      <c r="O85" s="60">
        <f t="shared" si="19"/>
        <v>23.35307376177435</v>
      </c>
    </row>
    <row r="86" spans="1:15" s="50" customFormat="1" ht="7.5" customHeight="1">
      <c r="A86" s="57">
        <v>250000</v>
      </c>
      <c r="B86" s="57">
        <v>1630</v>
      </c>
      <c r="C86" s="59">
        <v>564804.841</v>
      </c>
      <c r="D86" s="59">
        <v>481</v>
      </c>
      <c r="E86" s="59">
        <v>169738</v>
      </c>
      <c r="F86" s="60">
        <f t="shared" si="20"/>
        <v>29.50920245398773</v>
      </c>
      <c r="G86" s="60">
        <f t="shared" si="18"/>
        <v>30.052504454366034</v>
      </c>
      <c r="H86" s="59"/>
      <c r="I86" s="57">
        <v>250000</v>
      </c>
      <c r="J86" s="59">
        <v>1734</v>
      </c>
      <c r="K86" s="59">
        <v>579943.653</v>
      </c>
      <c r="L86" s="59">
        <v>503</v>
      </c>
      <c r="M86" s="59">
        <v>177424</v>
      </c>
      <c r="N86" s="60">
        <f t="shared" si="21"/>
        <v>29.008073817762398</v>
      </c>
      <c r="O86" s="60">
        <f t="shared" si="19"/>
        <v>30.593316968329678</v>
      </c>
    </row>
    <row r="87" spans="1:15" s="50" customFormat="1" ht="7.5" customHeight="1">
      <c r="A87" s="57">
        <v>500000</v>
      </c>
      <c r="B87" s="57">
        <v>768</v>
      </c>
      <c r="C87" s="59">
        <v>539125.308</v>
      </c>
      <c r="D87" s="59">
        <v>274</v>
      </c>
      <c r="E87" s="59">
        <v>205123</v>
      </c>
      <c r="F87" s="60">
        <f t="shared" si="20"/>
        <v>35.677083333333336</v>
      </c>
      <c r="G87" s="60">
        <f t="shared" si="18"/>
        <v>38.04736987045691</v>
      </c>
      <c r="H87" s="59"/>
      <c r="I87" s="57">
        <v>500000</v>
      </c>
      <c r="J87" s="59">
        <v>795</v>
      </c>
      <c r="K87" s="59">
        <v>549858.928</v>
      </c>
      <c r="L87" s="59">
        <v>291</v>
      </c>
      <c r="M87" s="59">
        <v>203278</v>
      </c>
      <c r="N87" s="60">
        <f t="shared" si="21"/>
        <v>36.60377358490566</v>
      </c>
      <c r="O87" s="60">
        <f t="shared" si="19"/>
        <v>36.96911874094368</v>
      </c>
    </row>
    <row r="88" spans="1:15" ht="7.5" customHeight="1">
      <c r="A88" s="57">
        <v>1000000</v>
      </c>
      <c r="B88" s="57">
        <v>352</v>
      </c>
      <c r="C88" s="59">
        <v>500213.574</v>
      </c>
      <c r="D88" s="59">
        <v>187</v>
      </c>
      <c r="E88" s="59">
        <v>272110</v>
      </c>
      <c r="F88" s="60">
        <f t="shared" si="20"/>
        <v>53.125</v>
      </c>
      <c r="G88" s="60">
        <f t="shared" si="18"/>
        <v>54.39876367689294</v>
      </c>
      <c r="H88" s="59"/>
      <c r="I88" s="57">
        <v>1000000</v>
      </c>
      <c r="J88" s="59">
        <v>376</v>
      </c>
      <c r="K88" s="59">
        <v>531382.791</v>
      </c>
      <c r="L88" s="59">
        <v>173</v>
      </c>
      <c r="M88" s="59">
        <v>251172</v>
      </c>
      <c r="N88" s="60">
        <f t="shared" si="21"/>
        <v>46.01063829787234</v>
      </c>
      <c r="O88" s="60">
        <f t="shared" si="19"/>
        <v>47.26762030199055</v>
      </c>
    </row>
    <row r="89" spans="1:15" ht="7.5" customHeight="1">
      <c r="A89" s="57">
        <v>2000000</v>
      </c>
      <c r="B89" s="57">
        <v>137</v>
      </c>
      <c r="C89" s="59">
        <v>409353.904</v>
      </c>
      <c r="D89" s="59">
        <v>87</v>
      </c>
      <c r="E89" s="59">
        <v>265526</v>
      </c>
      <c r="F89" s="60">
        <f t="shared" si="20"/>
        <v>63.503649635036496</v>
      </c>
      <c r="G89" s="60">
        <f t="shared" si="18"/>
        <v>64.86465559639564</v>
      </c>
      <c r="H89" s="59"/>
      <c r="I89" s="57">
        <v>2000000</v>
      </c>
      <c r="J89" s="59">
        <v>125</v>
      </c>
      <c r="K89" s="59">
        <v>373697.285</v>
      </c>
      <c r="L89" s="59">
        <v>69</v>
      </c>
      <c r="M89" s="59">
        <v>202285</v>
      </c>
      <c r="N89" s="60">
        <f t="shared" si="21"/>
        <v>55.2</v>
      </c>
      <c r="O89" s="60">
        <f t="shared" si="19"/>
        <v>54.13071170693681</v>
      </c>
    </row>
    <row r="90" spans="1:15" ht="7.5" customHeight="1">
      <c r="A90" s="57">
        <v>5000000</v>
      </c>
      <c r="B90" s="57">
        <v>30</v>
      </c>
      <c r="C90" s="59">
        <v>196567.238</v>
      </c>
      <c r="D90" s="59">
        <v>20</v>
      </c>
      <c r="E90" s="59">
        <v>123874</v>
      </c>
      <c r="F90" s="60">
        <f t="shared" si="20"/>
        <v>66.66666666666667</v>
      </c>
      <c r="G90" s="60">
        <f t="shared" si="18"/>
        <v>63.01863996277955</v>
      </c>
      <c r="H90" s="59"/>
      <c r="I90" s="57">
        <v>5000000</v>
      </c>
      <c r="J90" s="59">
        <v>29</v>
      </c>
      <c r="K90" s="59">
        <v>194414.038</v>
      </c>
      <c r="L90" s="59">
        <v>20</v>
      </c>
      <c r="M90" s="59">
        <v>135420</v>
      </c>
      <c r="N90" s="60">
        <f t="shared" si="21"/>
        <v>68.96551724137932</v>
      </c>
      <c r="O90" s="60">
        <f t="shared" si="19"/>
        <v>69.65546387138978</v>
      </c>
    </row>
    <row r="91" spans="1:15" ht="7.5" customHeight="1">
      <c r="A91" s="57">
        <v>10000000</v>
      </c>
      <c r="B91" s="57">
        <v>16</v>
      </c>
      <c r="C91" s="59">
        <v>252327.905</v>
      </c>
      <c r="D91" s="59">
        <v>12</v>
      </c>
      <c r="E91" s="59">
        <v>189700</v>
      </c>
      <c r="F91" s="60">
        <f t="shared" si="20"/>
        <v>75</v>
      </c>
      <c r="G91" s="60">
        <f t="shared" si="18"/>
        <v>75.17995284746648</v>
      </c>
      <c r="H91" s="59"/>
      <c r="I91" s="57">
        <v>10000000</v>
      </c>
      <c r="J91" s="59">
        <v>18</v>
      </c>
      <c r="K91" s="59">
        <v>337327.369</v>
      </c>
      <c r="L91" s="59">
        <v>15</v>
      </c>
      <c r="M91" s="59">
        <v>298266</v>
      </c>
      <c r="N91" s="60">
        <f t="shared" si="21"/>
        <v>83.33333333333333</v>
      </c>
      <c r="O91" s="60">
        <f t="shared" si="19"/>
        <v>88.42033804852639</v>
      </c>
    </row>
    <row r="92" spans="1:15" ht="7.5" customHeight="1">
      <c r="A92" s="57">
        <v>50000000</v>
      </c>
      <c r="B92" s="57">
        <v>1</v>
      </c>
      <c r="C92" s="59">
        <v>242700.567</v>
      </c>
      <c r="D92" s="59">
        <v>1</v>
      </c>
      <c r="E92" s="59">
        <v>242701</v>
      </c>
      <c r="F92" s="60">
        <f t="shared" si="20"/>
        <v>100</v>
      </c>
      <c r="G92" s="60">
        <f t="shared" si="18"/>
        <v>100.00017840914232</v>
      </c>
      <c r="H92" s="59"/>
      <c r="I92" s="57">
        <v>50000000</v>
      </c>
      <c r="J92" s="59">
        <v>0</v>
      </c>
      <c r="K92" s="59">
        <v>0</v>
      </c>
      <c r="L92" s="59">
        <v>0</v>
      </c>
      <c r="M92" s="59">
        <v>0</v>
      </c>
      <c r="N92" s="60" t="e">
        <f t="shared" si="21"/>
        <v>#DIV/0!</v>
      </c>
      <c r="O92" s="60" t="e">
        <f t="shared" si="19"/>
        <v>#DIV/0!</v>
      </c>
    </row>
    <row r="93" spans="1:15" ht="7.5" customHeight="1">
      <c r="A93" s="57" t="s">
        <v>18</v>
      </c>
      <c r="B93" s="57">
        <v>358921</v>
      </c>
      <c r="C93" s="59">
        <v>5577146.213</v>
      </c>
      <c r="D93" s="59">
        <v>17988</v>
      </c>
      <c r="E93" s="59">
        <v>1857013</v>
      </c>
      <c r="F93" s="60">
        <f t="shared" si="20"/>
        <v>5.011687808737856</v>
      </c>
      <c r="G93" s="60">
        <f t="shared" si="18"/>
        <v>33.29683191147852</v>
      </c>
      <c r="H93" s="59"/>
      <c r="I93" s="57" t="s">
        <v>18</v>
      </c>
      <c r="J93" s="59">
        <v>360539</v>
      </c>
      <c r="K93" s="59">
        <v>5531522.698</v>
      </c>
      <c r="L93" s="59">
        <v>19268</v>
      </c>
      <c r="M93" s="59">
        <v>1650251</v>
      </c>
      <c r="N93" s="60">
        <f t="shared" si="21"/>
        <v>5.34422073617556</v>
      </c>
      <c r="O93" s="60">
        <f t="shared" si="19"/>
        <v>29.833575492633727</v>
      </c>
    </row>
    <row r="94" spans="1:34" ht="7.5" customHeight="1">
      <c r="A94" s="57"/>
      <c r="B94" s="57"/>
      <c r="C94" s="59"/>
      <c r="D94" s="59"/>
      <c r="E94" s="59"/>
      <c r="I94" s="49"/>
      <c r="J94" s="49"/>
      <c r="K94" s="49"/>
      <c r="L94" s="59"/>
      <c r="M94" s="59"/>
      <c r="AE94" s="49"/>
      <c r="AF94" s="49"/>
      <c r="AG94" s="49"/>
      <c r="AH94" s="49"/>
    </row>
    <row r="95" ht="7.5" customHeight="1">
      <c r="S95" s="49"/>
    </row>
    <row r="96" ht="7.5" customHeight="1">
      <c r="S96" s="49"/>
    </row>
    <row r="97" ht="7.5" customHeight="1">
      <c r="S97" s="49"/>
    </row>
    <row r="98" ht="7.5" customHeight="1">
      <c r="S98" s="49"/>
    </row>
    <row r="99" ht="7.5" customHeight="1">
      <c r="S99" s="49"/>
    </row>
    <row r="100" ht="7.5" customHeight="1">
      <c r="S100" s="49"/>
    </row>
    <row r="101" ht="7.5" customHeight="1">
      <c r="S101" s="49"/>
    </row>
    <row r="102" ht="7.5" customHeight="1">
      <c r="S102" s="49"/>
    </row>
    <row r="103" ht="7.5" customHeight="1">
      <c r="S103" s="49"/>
    </row>
    <row r="104" ht="7.5" customHeight="1">
      <c r="S104" s="49"/>
    </row>
    <row r="105" ht="7.5" customHeight="1">
      <c r="S105" s="49"/>
    </row>
    <row r="106" ht="7.5" customHeight="1">
      <c r="S106" s="49"/>
    </row>
    <row r="107" ht="7.5" customHeight="1">
      <c r="S107" s="49"/>
    </row>
    <row r="108" ht="7.5" customHeight="1">
      <c r="S108" s="49"/>
    </row>
    <row r="109" ht="7.5" customHeight="1">
      <c r="S109" s="49"/>
    </row>
    <row r="110" ht="7.5" customHeight="1">
      <c r="S110" s="50"/>
    </row>
    <row r="111" ht="7.5" customHeight="1">
      <c r="S111" s="50"/>
    </row>
    <row r="112" spans="13:19" ht="7.5" customHeight="1">
      <c r="M112" s="49"/>
      <c r="N112" s="49"/>
      <c r="O112" s="49"/>
      <c r="P112" s="49"/>
      <c r="Q112" s="49"/>
      <c r="R112" s="49"/>
      <c r="S112" s="49"/>
    </row>
    <row r="113" spans="13:19" ht="7.5" customHeight="1">
      <c r="M113" s="49"/>
      <c r="N113" s="49"/>
      <c r="O113" s="49"/>
      <c r="P113" s="49"/>
      <c r="Q113" s="49"/>
      <c r="R113" s="49"/>
      <c r="S113" s="49"/>
    </row>
    <row r="114" spans="13:19" ht="7.5" customHeight="1">
      <c r="M114" s="49"/>
      <c r="N114" s="49"/>
      <c r="O114" s="49"/>
      <c r="P114" s="49"/>
      <c r="Q114" s="49"/>
      <c r="R114" s="49"/>
      <c r="S114" s="49"/>
    </row>
    <row r="115" spans="13:19" ht="7.5" customHeight="1">
      <c r="M115" s="49"/>
      <c r="N115" s="49"/>
      <c r="O115" s="49"/>
      <c r="P115" s="49"/>
      <c r="Q115" s="49"/>
      <c r="R115" s="49"/>
      <c r="S115" s="49"/>
    </row>
    <row r="116" spans="13:19" ht="7.5" customHeight="1">
      <c r="M116" s="49"/>
      <c r="N116" s="49"/>
      <c r="O116" s="49"/>
      <c r="P116" s="49"/>
      <c r="Q116" s="49"/>
      <c r="R116" s="49"/>
      <c r="S116" s="49"/>
    </row>
    <row r="117" spans="13:19" ht="7.5" customHeight="1">
      <c r="M117" s="49"/>
      <c r="N117" s="49"/>
      <c r="O117" s="49"/>
      <c r="P117" s="49"/>
      <c r="Q117" s="49"/>
      <c r="R117" s="49"/>
      <c r="S117" s="49"/>
    </row>
    <row r="118" spans="13:19" ht="7.5" customHeight="1">
      <c r="M118" s="49"/>
      <c r="N118" s="49"/>
      <c r="O118" s="49"/>
      <c r="P118" s="49"/>
      <c r="Q118" s="49"/>
      <c r="R118" s="49"/>
      <c r="S118" s="49"/>
    </row>
    <row r="119" spans="13:19" ht="7.5" customHeight="1">
      <c r="M119" s="49"/>
      <c r="N119" s="49"/>
      <c r="O119" s="49"/>
      <c r="P119" s="49"/>
      <c r="Q119" s="49"/>
      <c r="R119" s="49"/>
      <c r="S119" s="49"/>
    </row>
    <row r="120" spans="13:19" ht="7.5" customHeight="1">
      <c r="M120" s="49"/>
      <c r="N120" s="49"/>
      <c r="O120" s="49"/>
      <c r="P120" s="49"/>
      <c r="Q120" s="49"/>
      <c r="R120" s="49"/>
      <c r="S120" s="49"/>
    </row>
    <row r="121" spans="13:19" ht="7.5" customHeight="1">
      <c r="M121" s="49"/>
      <c r="N121" s="49"/>
      <c r="O121" s="49"/>
      <c r="P121" s="49"/>
      <c r="Q121" s="49"/>
      <c r="R121" s="49"/>
      <c r="S121" s="49"/>
    </row>
    <row r="122" spans="13:19" ht="7.5" customHeight="1">
      <c r="M122" s="49"/>
      <c r="N122" s="49"/>
      <c r="O122" s="49"/>
      <c r="P122" s="49"/>
      <c r="Q122" s="49"/>
      <c r="R122" s="49"/>
      <c r="S122" s="49"/>
    </row>
    <row r="123" spans="13:19" ht="7.5" customHeight="1">
      <c r="M123" s="49"/>
      <c r="N123" s="49"/>
      <c r="O123" s="49"/>
      <c r="P123" s="49"/>
      <c r="Q123" s="49"/>
      <c r="R123" s="49"/>
      <c r="S123" s="49"/>
    </row>
    <row r="124" spans="13:19" ht="7.5" customHeight="1">
      <c r="M124" s="49"/>
      <c r="N124" s="49"/>
      <c r="O124" s="49"/>
      <c r="P124" s="49"/>
      <c r="Q124" s="49"/>
      <c r="R124" s="49"/>
      <c r="S124" s="49"/>
    </row>
    <row r="125" spans="13:19" ht="7.5" customHeight="1">
      <c r="M125" s="49"/>
      <c r="N125" s="49"/>
      <c r="O125" s="49"/>
      <c r="P125" s="49"/>
      <c r="Q125" s="49"/>
      <c r="R125" s="49"/>
      <c r="S125" s="49"/>
    </row>
    <row r="126" spans="13:19" ht="7.5" customHeight="1">
      <c r="M126" s="49"/>
      <c r="N126" s="49"/>
      <c r="O126" s="49"/>
      <c r="P126" s="49"/>
      <c r="Q126" s="49"/>
      <c r="R126" s="49"/>
      <c r="S126" s="49"/>
    </row>
    <row r="127" spans="13:19" ht="7.5" customHeight="1">
      <c r="M127" s="49"/>
      <c r="N127" s="49"/>
      <c r="O127" s="49"/>
      <c r="P127" s="49"/>
      <c r="Q127" s="49"/>
      <c r="R127" s="49"/>
      <c r="S127" s="49"/>
    </row>
    <row r="128" spans="1:19" ht="7.5" customHeight="1">
      <c r="A128" s="57"/>
      <c r="B128" s="57"/>
      <c r="C128" s="59"/>
      <c r="D128" s="57"/>
      <c r="E128" s="59"/>
      <c r="F128" s="59"/>
      <c r="G128" s="59"/>
      <c r="H128" s="5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1:19" ht="7.5" customHeight="1">
      <c r="A129" s="50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50"/>
      <c r="S129" s="50"/>
    </row>
    <row r="130" spans="1:19" ht="7.5" customHeight="1">
      <c r="A130" s="50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0"/>
      <c r="S130" s="50"/>
    </row>
    <row r="131" spans="1:19" ht="7.5" customHeight="1">
      <c r="A131" s="50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0"/>
      <c r="S131" s="50"/>
    </row>
    <row r="132" spans="1:19" ht="7.5" customHeight="1">
      <c r="A132" s="50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  <c r="S132" s="50"/>
    </row>
    <row r="133" spans="1:19" ht="7.5" customHeight="1">
      <c r="A133" s="50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50"/>
      <c r="S133" s="50"/>
    </row>
    <row r="134" spans="1:19" ht="7.5" customHeight="1">
      <c r="A134" s="50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  <c r="S134" s="50"/>
    </row>
    <row r="135" spans="1:19" ht="7.5" customHeight="1">
      <c r="A135" s="50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50"/>
      <c r="S135" s="50"/>
    </row>
    <row r="136" spans="1:19" ht="7.5" customHeight="1">
      <c r="A136" s="50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  <c r="S136" s="50"/>
    </row>
    <row r="137" spans="1:19" ht="7.5" customHeight="1">
      <c r="A137" s="50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50"/>
      <c r="S137" s="50"/>
    </row>
    <row r="138" spans="1:19" ht="7.5" customHeight="1">
      <c r="A138" s="50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0"/>
      <c r="S138" s="50"/>
    </row>
    <row r="139" spans="2:17" ht="7.5" customHeight="1"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2:17" ht="7.5" customHeight="1"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</row>
    <row r="141" spans="2:17" ht="7.5" customHeight="1"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</row>
    <row r="142" spans="2:17" ht="7.5" customHeight="1"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</row>
    <row r="143" spans="2:17" ht="7.5" customHeight="1"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</row>
    <row r="144" spans="2:17" ht="7.5" customHeight="1"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</row>
    <row r="145" spans="1:19" ht="7.5" customHeight="1">
      <c r="A145" s="57"/>
      <c r="B145" s="57"/>
      <c r="C145" s="59"/>
      <c r="D145" s="57"/>
      <c r="E145" s="57"/>
      <c r="F145" s="59"/>
      <c r="G145" s="59"/>
      <c r="H145" s="5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</row>
    <row r="146" spans="1:8" ht="7.5" customHeight="1">
      <c r="A146" s="49"/>
      <c r="B146" s="49"/>
      <c r="C146" s="49"/>
      <c r="D146" s="49"/>
      <c r="E146" s="49"/>
      <c r="F146" s="49"/>
      <c r="G146" s="49"/>
      <c r="H146" s="49"/>
    </row>
    <row r="147" spans="1:8" ht="7.5" customHeight="1">
      <c r="A147" s="49"/>
      <c r="B147" s="49"/>
      <c r="C147" s="49"/>
      <c r="D147" s="49"/>
      <c r="E147" s="49"/>
      <c r="F147" s="49"/>
      <c r="G147" s="49"/>
      <c r="H147" s="49"/>
    </row>
    <row r="148" spans="1:8" ht="7.5" customHeight="1">
      <c r="A148" s="49"/>
      <c r="B148" s="49"/>
      <c r="C148" s="49"/>
      <c r="D148" s="49"/>
      <c r="E148" s="49"/>
      <c r="F148" s="49"/>
      <c r="G148" s="49"/>
      <c r="H148" s="49"/>
    </row>
    <row r="149" spans="1:8" ht="7.5" customHeight="1">
      <c r="A149" s="49"/>
      <c r="B149" s="49"/>
      <c r="C149" s="49"/>
      <c r="D149" s="49"/>
      <c r="E149" s="49"/>
      <c r="F149" s="49"/>
      <c r="G149" s="49"/>
      <c r="H149" s="49"/>
    </row>
    <row r="150" spans="1:8" ht="7.5" customHeight="1">
      <c r="A150" s="49"/>
      <c r="B150" s="49"/>
      <c r="C150" s="49"/>
      <c r="D150" s="49"/>
      <c r="E150" s="49"/>
      <c r="F150" s="49"/>
      <c r="G150" s="49"/>
      <c r="H150" s="49"/>
    </row>
    <row r="151" spans="1:8" ht="7.5" customHeight="1">
      <c r="A151" s="49"/>
      <c r="B151" s="49"/>
      <c r="C151" s="49"/>
      <c r="D151" s="49"/>
      <c r="E151" s="49"/>
      <c r="F151" s="49"/>
      <c r="G151" s="49"/>
      <c r="H151" s="49"/>
    </row>
    <row r="152" spans="1:8" ht="7.5" customHeight="1">
      <c r="A152" s="49"/>
      <c r="B152" s="49"/>
      <c r="C152" s="49"/>
      <c r="D152" s="49"/>
      <c r="E152" s="49"/>
      <c r="F152" s="49"/>
      <c r="G152" s="49"/>
      <c r="H152" s="49"/>
    </row>
    <row r="153" spans="1:8" ht="7.5" customHeight="1">
      <c r="A153" s="49"/>
      <c r="B153" s="49"/>
      <c r="C153" s="49"/>
      <c r="D153" s="49"/>
      <c r="E153" s="49"/>
      <c r="F153" s="49"/>
      <c r="G153" s="49"/>
      <c r="H153" s="49"/>
    </row>
    <row r="154" spans="1:8" ht="7.5" customHeight="1">
      <c r="A154" s="49"/>
      <c r="B154" s="49"/>
      <c r="C154" s="49"/>
      <c r="D154" s="49"/>
      <c r="E154" s="49"/>
      <c r="F154" s="49"/>
      <c r="G154" s="49"/>
      <c r="H154" s="49"/>
    </row>
    <row r="155" spans="1:8" ht="7.5" customHeight="1">
      <c r="A155" s="49"/>
      <c r="B155" s="49"/>
      <c r="C155" s="49"/>
      <c r="D155" s="49"/>
      <c r="E155" s="49"/>
      <c r="F155" s="49"/>
      <c r="G155" s="49"/>
      <c r="H155" s="49"/>
    </row>
    <row r="156" spans="1:8" ht="7.5" customHeight="1">
      <c r="A156" s="49"/>
      <c r="B156" s="49"/>
      <c r="C156" s="49"/>
      <c r="D156" s="49"/>
      <c r="E156" s="49"/>
      <c r="F156" s="49"/>
      <c r="G156" s="49"/>
      <c r="H156" s="49"/>
    </row>
    <row r="157" spans="1:8" ht="7.5" customHeight="1">
      <c r="A157" s="49"/>
      <c r="B157" s="49"/>
      <c r="C157" s="49"/>
      <c r="D157" s="49"/>
      <c r="E157" s="49"/>
      <c r="F157" s="49"/>
      <c r="G157" s="49"/>
      <c r="H157" s="49"/>
    </row>
    <row r="158" spans="1:8" ht="7.5" customHeight="1">
      <c r="A158" s="49"/>
      <c r="B158" s="49"/>
      <c r="C158" s="49"/>
      <c r="D158" s="49"/>
      <c r="E158" s="49"/>
      <c r="F158" s="49"/>
      <c r="G158" s="49"/>
      <c r="H158" s="49"/>
    </row>
    <row r="159" spans="1:8" ht="7.5" customHeight="1">
      <c r="A159" s="49"/>
      <c r="B159" s="49"/>
      <c r="C159" s="49"/>
      <c r="D159" s="49"/>
      <c r="E159" s="49"/>
      <c r="F159" s="49"/>
      <c r="G159" s="49"/>
      <c r="H159" s="49"/>
    </row>
    <row r="160" spans="1:8" ht="7.5" customHeight="1">
      <c r="A160" s="49"/>
      <c r="B160" s="49"/>
      <c r="C160" s="49"/>
      <c r="D160" s="49"/>
      <c r="E160" s="49"/>
      <c r="F160" s="49"/>
      <c r="G160" s="49"/>
      <c r="H160" s="49"/>
    </row>
    <row r="161" spans="1:8" ht="7.5" customHeight="1">
      <c r="A161" s="49"/>
      <c r="B161" s="49"/>
      <c r="C161" s="49"/>
      <c r="D161" s="49"/>
      <c r="E161" s="49"/>
      <c r="F161" s="49"/>
      <c r="G161" s="49"/>
      <c r="H161" s="49"/>
    </row>
    <row r="162" spans="1:8" ht="7.5" customHeight="1">
      <c r="A162" s="49"/>
      <c r="B162" s="49"/>
      <c r="C162" s="49"/>
      <c r="D162" s="49"/>
      <c r="E162" s="49"/>
      <c r="F162" s="49"/>
      <c r="G162" s="49"/>
      <c r="H162" s="49"/>
    </row>
    <row r="163" spans="1:8" ht="7.5" customHeight="1">
      <c r="A163" s="49"/>
      <c r="B163" s="49"/>
      <c r="C163" s="49"/>
      <c r="D163" s="49"/>
      <c r="E163" s="49"/>
      <c r="F163" s="49"/>
      <c r="G163" s="49"/>
      <c r="H163" s="49"/>
    </row>
    <row r="164" spans="1:8" ht="7.5" customHeight="1">
      <c r="A164" s="49"/>
      <c r="B164" s="49"/>
      <c r="C164" s="49"/>
      <c r="D164" s="49"/>
      <c r="E164" s="49"/>
      <c r="F164" s="49"/>
      <c r="G164" s="49"/>
      <c r="H164" s="49"/>
    </row>
    <row r="165" spans="1:8" ht="7.5" customHeight="1">
      <c r="A165" s="49"/>
      <c r="B165" s="49"/>
      <c r="C165" s="49"/>
      <c r="D165" s="49"/>
      <c r="E165" s="49"/>
      <c r="F165" s="49"/>
      <c r="G165" s="49"/>
      <c r="H165" s="49"/>
    </row>
    <row r="166" spans="1:8" ht="7.5" customHeight="1">
      <c r="A166" s="49"/>
      <c r="B166" s="49"/>
      <c r="C166" s="49"/>
      <c r="D166" s="49"/>
      <c r="E166" s="49"/>
      <c r="F166" s="49"/>
      <c r="G166" s="49"/>
      <c r="H166" s="49"/>
    </row>
    <row r="167" spans="1:8" ht="7.5" customHeight="1">
      <c r="A167" s="49"/>
      <c r="B167" s="49"/>
      <c r="C167" s="49"/>
      <c r="D167" s="49"/>
      <c r="E167" s="49"/>
      <c r="F167" s="49"/>
      <c r="G167" s="49"/>
      <c r="H167" s="49"/>
    </row>
    <row r="168" spans="1:8" ht="7.5" customHeight="1">
      <c r="A168" s="49"/>
      <c r="B168" s="49"/>
      <c r="C168" s="49"/>
      <c r="D168" s="49"/>
      <c r="E168" s="49"/>
      <c r="F168" s="49"/>
      <c r="G168" s="49"/>
      <c r="H168" s="49"/>
    </row>
    <row r="169" spans="1:8" ht="7.5" customHeight="1">
      <c r="A169" s="49"/>
      <c r="B169" s="49"/>
      <c r="C169" s="49"/>
      <c r="D169" s="49"/>
      <c r="E169" s="49"/>
      <c r="F169" s="49"/>
      <c r="G169" s="49"/>
      <c r="H169" s="49"/>
    </row>
    <row r="170" spans="1:8" ht="7.5" customHeight="1">
      <c r="A170" s="49"/>
      <c r="B170" s="49"/>
      <c r="C170" s="49"/>
      <c r="D170" s="49"/>
      <c r="E170" s="49"/>
      <c r="F170" s="49"/>
      <c r="G170" s="49"/>
      <c r="H170" s="49"/>
    </row>
    <row r="171" spans="1:8" ht="7.5" customHeight="1">
      <c r="A171" s="49"/>
      <c r="B171" s="49"/>
      <c r="C171" s="49"/>
      <c r="D171" s="49"/>
      <c r="E171" s="49"/>
      <c r="F171" s="49"/>
      <c r="G171" s="49"/>
      <c r="H171" s="49"/>
    </row>
    <row r="172" spans="1:8" ht="7.5" customHeight="1">
      <c r="A172" s="49"/>
      <c r="B172" s="49"/>
      <c r="C172" s="49"/>
      <c r="D172" s="49"/>
      <c r="E172" s="49"/>
      <c r="F172" s="49"/>
      <c r="G172" s="49"/>
      <c r="H172" s="49"/>
    </row>
    <row r="173" spans="1:8" ht="7.5" customHeight="1">
      <c r="A173" s="49"/>
      <c r="B173" s="49"/>
      <c r="C173" s="49"/>
      <c r="D173" s="49"/>
      <c r="E173" s="49"/>
      <c r="F173" s="49"/>
      <c r="G173" s="49"/>
      <c r="H173" s="49"/>
    </row>
    <row r="174" spans="1:8" ht="7.5" customHeight="1">
      <c r="A174" s="49"/>
      <c r="B174" s="49"/>
      <c r="C174" s="49"/>
      <c r="D174" s="49"/>
      <c r="E174" s="49"/>
      <c r="F174" s="49"/>
      <c r="G174" s="49"/>
      <c r="H174" s="49"/>
    </row>
    <row r="175" spans="1:8" ht="7.5" customHeight="1">
      <c r="A175" s="49"/>
      <c r="B175" s="49"/>
      <c r="C175" s="49"/>
      <c r="D175" s="49"/>
      <c r="E175" s="49"/>
      <c r="F175" s="49"/>
      <c r="G175" s="49"/>
      <c r="H175" s="49"/>
    </row>
    <row r="176" spans="1:8" ht="7.5" customHeight="1">
      <c r="A176" s="49"/>
      <c r="B176" s="49"/>
      <c r="C176" s="49"/>
      <c r="D176" s="49"/>
      <c r="E176" s="49"/>
      <c r="F176" s="49"/>
      <c r="G176" s="49"/>
      <c r="H176" s="49"/>
    </row>
    <row r="177" spans="1:8" ht="7.5" customHeight="1">
      <c r="A177" s="49"/>
      <c r="B177" s="49"/>
      <c r="C177" s="49"/>
      <c r="D177" s="49"/>
      <c r="E177" s="49"/>
      <c r="F177" s="49"/>
      <c r="G177" s="49"/>
      <c r="H177" s="49"/>
    </row>
    <row r="178" spans="1:8" ht="7.5" customHeight="1">
      <c r="A178" s="49"/>
      <c r="B178" s="49"/>
      <c r="C178" s="49"/>
      <c r="D178" s="49"/>
      <c r="E178" s="49"/>
      <c r="F178" s="49"/>
      <c r="G178" s="49"/>
      <c r="H178" s="49"/>
    </row>
    <row r="179" spans="1:8" ht="7.5" customHeight="1">
      <c r="A179" s="49"/>
      <c r="B179" s="49"/>
      <c r="C179" s="49"/>
      <c r="D179" s="49"/>
      <c r="E179" s="49"/>
      <c r="F179" s="49"/>
      <c r="G179" s="49"/>
      <c r="H179" s="49"/>
    </row>
    <row r="180" spans="1:8" ht="7.5" customHeight="1">
      <c r="A180" s="49"/>
      <c r="B180" s="49"/>
      <c r="C180" s="49"/>
      <c r="D180" s="49"/>
      <c r="E180" s="49"/>
      <c r="F180" s="49"/>
      <c r="G180" s="49"/>
      <c r="H180" s="49"/>
    </row>
    <row r="181" spans="1:8" ht="7.5" customHeight="1">
      <c r="A181" s="49"/>
      <c r="B181" s="49"/>
      <c r="C181" s="49"/>
      <c r="D181" s="49"/>
      <c r="E181" s="49"/>
      <c r="F181" s="49"/>
      <c r="G181" s="49"/>
      <c r="H181" s="49"/>
    </row>
    <row r="182" spans="1:8" ht="7.5" customHeight="1">
      <c r="A182" s="49"/>
      <c r="B182" s="49"/>
      <c r="C182" s="49"/>
      <c r="D182" s="49"/>
      <c r="E182" s="49"/>
      <c r="F182" s="49"/>
      <c r="G182" s="49"/>
      <c r="H182" s="49"/>
    </row>
    <row r="183" spans="1:8" ht="7.5" customHeight="1">
      <c r="A183" s="49"/>
      <c r="B183" s="49"/>
      <c r="C183" s="49"/>
      <c r="D183" s="49"/>
      <c r="E183" s="49"/>
      <c r="F183" s="49"/>
      <c r="G183" s="49"/>
      <c r="H183" s="49"/>
    </row>
    <row r="184" spans="1:8" ht="7.5" customHeight="1">
      <c r="A184" s="49"/>
      <c r="B184" s="49"/>
      <c r="C184" s="49"/>
      <c r="D184" s="49"/>
      <c r="E184" s="49"/>
      <c r="F184" s="49"/>
      <c r="G184" s="49"/>
      <c r="H184" s="49"/>
    </row>
    <row r="185" spans="1:8" ht="7.5" customHeight="1">
      <c r="A185" s="49"/>
      <c r="B185" s="49"/>
      <c r="C185" s="49"/>
      <c r="D185" s="49"/>
      <c r="E185" s="49"/>
      <c r="F185" s="49"/>
      <c r="G185" s="49"/>
      <c r="H185" s="49"/>
    </row>
    <row r="186" spans="1:8" ht="7.5" customHeight="1">
      <c r="A186" s="49"/>
      <c r="B186" s="49"/>
      <c r="C186" s="49"/>
      <c r="D186" s="49"/>
      <c r="E186" s="49"/>
      <c r="F186" s="49"/>
      <c r="G186" s="49"/>
      <c r="H186" s="49"/>
    </row>
    <row r="187" spans="1:8" ht="7.5" customHeight="1">
      <c r="A187" s="49"/>
      <c r="B187" s="49"/>
      <c r="C187" s="49"/>
      <c r="D187" s="49"/>
      <c r="E187" s="49"/>
      <c r="F187" s="49"/>
      <c r="G187" s="49"/>
      <c r="H187" s="49"/>
    </row>
    <row r="188" spans="1:8" ht="7.5" customHeight="1">
      <c r="A188" s="49"/>
      <c r="B188" s="49"/>
      <c r="C188" s="49"/>
      <c r="D188" s="49"/>
      <c r="E188" s="49"/>
      <c r="F188" s="49"/>
      <c r="G188" s="49"/>
      <c r="H188" s="49"/>
    </row>
    <row r="189" spans="1:8" ht="7.5" customHeight="1">
      <c r="A189" s="49"/>
      <c r="B189" s="49"/>
      <c r="C189" s="49"/>
      <c r="D189" s="49"/>
      <c r="E189" s="49"/>
      <c r="F189" s="49"/>
      <c r="G189" s="49"/>
      <c r="H189" s="49"/>
    </row>
    <row r="190" spans="1:8" ht="7.5" customHeight="1">
      <c r="A190" s="49"/>
      <c r="B190" s="49"/>
      <c r="C190" s="49"/>
      <c r="D190" s="49"/>
      <c r="E190" s="49"/>
      <c r="F190" s="49"/>
      <c r="G190" s="49"/>
      <c r="H190" s="49"/>
    </row>
    <row r="191" spans="1:8" ht="7.5" customHeight="1">
      <c r="A191" s="49"/>
      <c r="B191" s="49"/>
      <c r="C191" s="49"/>
      <c r="D191" s="49"/>
      <c r="E191" s="49"/>
      <c r="F191" s="49"/>
      <c r="G191" s="49"/>
      <c r="H191" s="49"/>
    </row>
    <row r="192" spans="1:8" ht="7.5" customHeight="1">
      <c r="A192" s="49"/>
      <c r="B192" s="49"/>
      <c r="C192" s="49"/>
      <c r="D192" s="49"/>
      <c r="E192" s="49"/>
      <c r="F192" s="49"/>
      <c r="G192" s="49"/>
      <c r="H192" s="49"/>
    </row>
    <row r="193" spans="1:8" ht="7.5" customHeight="1">
      <c r="A193" s="49"/>
      <c r="B193" s="49"/>
      <c r="C193" s="49"/>
      <c r="D193" s="49"/>
      <c r="E193" s="49"/>
      <c r="F193" s="49"/>
      <c r="G193" s="49"/>
      <c r="H193" s="49"/>
    </row>
    <row r="194" spans="1:8" ht="7.5" customHeight="1">
      <c r="A194" s="49"/>
      <c r="B194" s="49"/>
      <c r="C194" s="49"/>
      <c r="D194" s="49"/>
      <c r="E194" s="49"/>
      <c r="F194" s="49"/>
      <c r="G194" s="49"/>
      <c r="H194" s="49"/>
    </row>
    <row r="195" spans="1:8" ht="7.5" customHeight="1">
      <c r="A195" s="49"/>
      <c r="B195" s="49"/>
      <c r="C195" s="49"/>
      <c r="D195" s="49"/>
      <c r="E195" s="49"/>
      <c r="F195" s="49"/>
      <c r="G195" s="49"/>
      <c r="H195" s="49"/>
    </row>
    <row r="196" spans="1:8" ht="7.5" customHeight="1">
      <c r="A196" s="49"/>
      <c r="B196" s="49"/>
      <c r="C196" s="49"/>
      <c r="D196" s="49"/>
      <c r="E196" s="49"/>
      <c r="F196" s="49"/>
      <c r="G196" s="49"/>
      <c r="H196" s="49"/>
    </row>
    <row r="197" spans="1:8" ht="7.5" customHeight="1">
      <c r="A197" s="49"/>
      <c r="B197" s="49"/>
      <c r="C197" s="49"/>
      <c r="D197" s="49"/>
      <c r="E197" s="49"/>
      <c r="F197" s="49"/>
      <c r="G197" s="49"/>
      <c r="H197" s="49"/>
    </row>
    <row r="198" spans="1:8" ht="7.5" customHeight="1">
      <c r="A198" s="49"/>
      <c r="B198" s="49"/>
      <c r="C198" s="49"/>
      <c r="D198" s="49"/>
      <c r="E198" s="49"/>
      <c r="F198" s="49"/>
      <c r="G198" s="49"/>
      <c r="H198" s="49"/>
    </row>
    <row r="199" spans="1:8" ht="7.5" customHeight="1">
      <c r="A199" s="49"/>
      <c r="B199" s="49"/>
      <c r="C199" s="49"/>
      <c r="D199" s="49"/>
      <c r="E199" s="49"/>
      <c r="F199" s="49"/>
      <c r="G199" s="49"/>
      <c r="H199" s="49"/>
    </row>
    <row r="200" spans="1:8" ht="7.5" customHeight="1">
      <c r="A200" s="49"/>
      <c r="B200" s="49"/>
      <c r="C200" s="49"/>
      <c r="D200" s="49"/>
      <c r="E200" s="49"/>
      <c r="F200" s="49"/>
      <c r="G200" s="49"/>
      <c r="H200" s="49"/>
    </row>
    <row r="201" spans="1:8" ht="7.5" customHeight="1">
      <c r="A201" s="49"/>
      <c r="B201" s="49"/>
      <c r="C201" s="49"/>
      <c r="D201" s="49"/>
      <c r="E201" s="49"/>
      <c r="F201" s="49"/>
      <c r="G201" s="49"/>
      <c r="H201" s="49"/>
    </row>
    <row r="202" spans="1:8" ht="7.5" customHeight="1">
      <c r="A202" s="49"/>
      <c r="B202" s="49"/>
      <c r="C202" s="49"/>
      <c r="D202" s="49"/>
      <c r="E202" s="49"/>
      <c r="F202" s="49"/>
      <c r="G202" s="49"/>
      <c r="H202" s="49"/>
    </row>
    <row r="203" spans="1:8" ht="7.5" customHeight="1">
      <c r="A203" s="49"/>
      <c r="B203" s="49"/>
      <c r="C203" s="49"/>
      <c r="D203" s="49"/>
      <c r="E203" s="49"/>
      <c r="F203" s="49"/>
      <c r="G203" s="49"/>
      <c r="H203" s="49"/>
    </row>
    <row r="204" spans="1:8" ht="7.5" customHeight="1">
      <c r="A204" s="49"/>
      <c r="B204" s="49"/>
      <c r="C204" s="49"/>
      <c r="D204" s="49"/>
      <c r="E204" s="49"/>
      <c r="F204" s="49"/>
      <c r="G204" s="49"/>
      <c r="H204" s="49"/>
    </row>
    <row r="205" spans="1:8" ht="7.5" customHeight="1">
      <c r="A205" s="49"/>
      <c r="B205" s="49"/>
      <c r="C205" s="49"/>
      <c r="D205" s="49"/>
      <c r="E205" s="49"/>
      <c r="F205" s="49"/>
      <c r="G205" s="49"/>
      <c r="H205" s="49"/>
    </row>
    <row r="206" spans="1:8" ht="7.5" customHeight="1">
      <c r="A206" s="49"/>
      <c r="B206" s="49"/>
      <c r="C206" s="49"/>
      <c r="D206" s="49"/>
      <c r="E206" s="49"/>
      <c r="F206" s="49"/>
      <c r="G206" s="49"/>
      <c r="H206" s="49"/>
    </row>
    <row r="207" spans="1:8" ht="7.5" customHeight="1">
      <c r="A207" s="49"/>
      <c r="B207" s="49"/>
      <c r="C207" s="49"/>
      <c r="D207" s="49"/>
      <c r="E207" s="49"/>
      <c r="F207" s="49"/>
      <c r="G207" s="49"/>
      <c r="H207" s="49"/>
    </row>
    <row r="208" spans="1:8" ht="7.5" customHeight="1">
      <c r="A208" s="49"/>
      <c r="B208" s="49"/>
      <c r="C208" s="49"/>
      <c r="D208" s="49"/>
      <c r="E208" s="49"/>
      <c r="F208" s="49"/>
      <c r="G208" s="49"/>
      <c r="H208" s="49"/>
    </row>
    <row r="209" spans="1:8" ht="7.5" customHeight="1">
      <c r="A209" s="49"/>
      <c r="B209" s="49"/>
      <c r="C209" s="49"/>
      <c r="D209" s="49"/>
      <c r="E209" s="49"/>
      <c r="F209" s="49"/>
      <c r="G209" s="49"/>
      <c r="H209" s="49"/>
    </row>
    <row r="210" spans="1:8" ht="7.5" customHeight="1">
      <c r="A210" s="49"/>
      <c r="B210" s="49"/>
      <c r="C210" s="49"/>
      <c r="D210" s="49"/>
      <c r="E210" s="49"/>
      <c r="F210" s="49"/>
      <c r="G210" s="49"/>
      <c r="H210" s="49"/>
    </row>
    <row r="211" spans="1:8" ht="7.5" customHeight="1">
      <c r="A211" s="49"/>
      <c r="B211" s="49"/>
      <c r="C211" s="49"/>
      <c r="D211" s="49"/>
      <c r="E211" s="49"/>
      <c r="F211" s="49"/>
      <c r="G211" s="49"/>
      <c r="H211" s="49"/>
    </row>
    <row r="212" spans="1:8" ht="7.5" customHeight="1">
      <c r="A212" s="49"/>
      <c r="B212" s="49"/>
      <c r="C212" s="49"/>
      <c r="D212" s="49"/>
      <c r="E212" s="49"/>
      <c r="F212" s="49"/>
      <c r="G212" s="49"/>
      <c r="H212" s="49"/>
    </row>
    <row r="213" spans="1:8" ht="7.5" customHeight="1">
      <c r="A213" s="49"/>
      <c r="B213" s="49"/>
      <c r="C213" s="49"/>
      <c r="D213" s="49"/>
      <c r="E213" s="49"/>
      <c r="F213" s="49"/>
      <c r="G213" s="49"/>
      <c r="H213" s="49"/>
    </row>
    <row r="214" spans="1:8" ht="7.5" customHeight="1">
      <c r="A214" s="49"/>
      <c r="B214" s="49"/>
      <c r="C214" s="49"/>
      <c r="D214" s="49"/>
      <c r="E214" s="49"/>
      <c r="F214" s="49"/>
      <c r="G214" s="49"/>
      <c r="H214" s="49"/>
    </row>
    <row r="215" spans="1:8" ht="7.5" customHeight="1">
      <c r="A215" s="49"/>
      <c r="B215" s="49"/>
      <c r="C215" s="49"/>
      <c r="D215" s="49"/>
      <c r="E215" s="49"/>
      <c r="F215" s="49"/>
      <c r="G215" s="49"/>
      <c r="H215" s="49"/>
    </row>
    <row r="216" spans="1:8" ht="7.5" customHeight="1">
      <c r="A216" s="49"/>
      <c r="B216" s="49"/>
      <c r="C216" s="49"/>
      <c r="D216" s="49"/>
      <c r="E216" s="49"/>
      <c r="F216" s="49"/>
      <c r="G216" s="49"/>
      <c r="H216" s="49"/>
    </row>
    <row r="217" spans="1:8" ht="7.5" customHeight="1">
      <c r="A217" s="49"/>
      <c r="B217" s="49"/>
      <c r="C217" s="49"/>
      <c r="D217" s="49"/>
      <c r="E217" s="49"/>
      <c r="F217" s="49"/>
      <c r="G217" s="49"/>
      <c r="H217" s="49"/>
    </row>
    <row r="218" spans="1:8" ht="7.5" customHeight="1">
      <c r="A218" s="49"/>
      <c r="B218" s="49"/>
      <c r="C218" s="49"/>
      <c r="D218" s="49"/>
      <c r="E218" s="49"/>
      <c r="F218" s="49"/>
      <c r="G218" s="49"/>
      <c r="H218" s="49"/>
    </row>
    <row r="219" spans="1:8" ht="7.5" customHeight="1">
      <c r="A219" s="49"/>
      <c r="B219" s="49"/>
      <c r="C219" s="49"/>
      <c r="D219" s="49"/>
      <c r="E219" s="49"/>
      <c r="F219" s="49"/>
      <c r="G219" s="49"/>
      <c r="H219" s="49"/>
    </row>
    <row r="220" spans="1:8" ht="7.5" customHeight="1">
      <c r="A220" s="49"/>
      <c r="B220" s="49"/>
      <c r="C220" s="49"/>
      <c r="D220" s="49"/>
      <c r="E220" s="49"/>
      <c r="F220" s="49"/>
      <c r="G220" s="49"/>
      <c r="H220" s="49"/>
    </row>
    <row r="221" spans="1:8" ht="7.5" customHeight="1">
      <c r="A221" s="49"/>
      <c r="B221" s="49"/>
      <c r="C221" s="49"/>
      <c r="D221" s="49"/>
      <c r="E221" s="49"/>
      <c r="F221" s="49"/>
      <c r="G221" s="49"/>
      <c r="H221" s="49"/>
    </row>
    <row r="222" spans="1:8" ht="7.5" customHeight="1">
      <c r="A222" s="49"/>
      <c r="B222" s="49"/>
      <c r="C222" s="49"/>
      <c r="D222" s="49"/>
      <c r="E222" s="49"/>
      <c r="F222" s="49"/>
      <c r="G222" s="49"/>
      <c r="H222" s="49"/>
    </row>
    <row r="223" spans="1:8" ht="7.5" customHeight="1">
      <c r="A223" s="49"/>
      <c r="B223" s="49"/>
      <c r="C223" s="49"/>
      <c r="D223" s="49"/>
      <c r="E223" s="49"/>
      <c r="F223" s="49"/>
      <c r="G223" s="49"/>
      <c r="H223" s="49"/>
    </row>
    <row r="224" spans="1:8" ht="7.5" customHeight="1">
      <c r="A224" s="49"/>
      <c r="B224" s="49"/>
      <c r="C224" s="49"/>
      <c r="D224" s="49"/>
      <c r="E224" s="49"/>
      <c r="F224" s="49"/>
      <c r="G224" s="49"/>
      <c r="H224" s="49"/>
    </row>
    <row r="225" spans="1:8" ht="7.5" customHeight="1">
      <c r="A225" s="49"/>
      <c r="B225" s="49"/>
      <c r="C225" s="49"/>
      <c r="D225" s="49"/>
      <c r="E225" s="49"/>
      <c r="F225" s="49"/>
      <c r="G225" s="49"/>
      <c r="H225" s="49"/>
    </row>
    <row r="226" spans="1:8" ht="7.5" customHeight="1">
      <c r="A226" s="49"/>
      <c r="B226" s="49"/>
      <c r="C226" s="49"/>
      <c r="D226" s="49"/>
      <c r="E226" s="49"/>
      <c r="F226" s="49"/>
      <c r="G226" s="49"/>
      <c r="H226" s="49"/>
    </row>
    <row r="227" spans="1:8" ht="7.5" customHeight="1">
      <c r="A227" s="49"/>
      <c r="B227" s="49"/>
      <c r="C227" s="49"/>
      <c r="D227" s="49"/>
      <c r="E227" s="49"/>
      <c r="F227" s="49"/>
      <c r="G227" s="49"/>
      <c r="H227" s="49"/>
    </row>
    <row r="228" spans="1:8" ht="7.5" customHeight="1">
      <c r="A228" s="49"/>
      <c r="B228" s="49"/>
      <c r="C228" s="49"/>
      <c r="D228" s="49"/>
      <c r="E228" s="49"/>
      <c r="F228" s="49"/>
      <c r="G228" s="49"/>
      <c r="H228" s="49"/>
    </row>
    <row r="229" spans="1:8" ht="7.5" customHeight="1">
      <c r="A229" s="49"/>
      <c r="B229" s="49"/>
      <c r="C229" s="49"/>
      <c r="D229" s="49"/>
      <c r="E229" s="49"/>
      <c r="F229" s="49"/>
      <c r="G229" s="49"/>
      <c r="H229" s="49"/>
    </row>
    <row r="230" spans="1:8" ht="7.5" customHeight="1">
      <c r="A230" s="49"/>
      <c r="B230" s="49"/>
      <c r="C230" s="49"/>
      <c r="D230" s="49"/>
      <c r="E230" s="49"/>
      <c r="F230" s="49"/>
      <c r="G230" s="49"/>
      <c r="H230" s="49"/>
    </row>
    <row r="231" spans="1:8" ht="7.5" customHeight="1">
      <c r="A231" s="49"/>
      <c r="B231" s="49"/>
      <c r="C231" s="49"/>
      <c r="D231" s="49"/>
      <c r="E231" s="49"/>
      <c r="F231" s="49"/>
      <c r="G231" s="49"/>
      <c r="H231" s="49"/>
    </row>
    <row r="232" spans="1:8" ht="7.5" customHeight="1">
      <c r="A232" s="49"/>
      <c r="B232" s="49"/>
      <c r="C232" s="49"/>
      <c r="D232" s="49"/>
      <c r="E232" s="49"/>
      <c r="F232" s="49"/>
      <c r="G232" s="49"/>
      <c r="H232" s="49"/>
    </row>
    <row r="233" spans="1:8" ht="7.5" customHeight="1">
      <c r="A233" s="49"/>
      <c r="B233" s="49"/>
      <c r="C233" s="49"/>
      <c r="D233" s="49"/>
      <c r="E233" s="49"/>
      <c r="F233" s="49"/>
      <c r="G233" s="49"/>
      <c r="H233" s="49"/>
    </row>
    <row r="234" spans="1:8" ht="7.5" customHeight="1">
      <c r="A234" s="49"/>
      <c r="B234" s="49"/>
      <c r="C234" s="49"/>
      <c r="D234" s="49"/>
      <c r="E234" s="49"/>
      <c r="F234" s="49"/>
      <c r="G234" s="49"/>
      <c r="H234" s="49"/>
    </row>
    <row r="235" spans="1:8" ht="7.5" customHeight="1">
      <c r="A235" s="49"/>
      <c r="B235" s="49"/>
      <c r="C235" s="49"/>
      <c r="D235" s="49"/>
      <c r="E235" s="49"/>
      <c r="F235" s="49"/>
      <c r="G235" s="49"/>
      <c r="H235" s="49"/>
    </row>
    <row r="236" spans="1:8" ht="7.5" customHeight="1">
      <c r="A236" s="49"/>
      <c r="B236" s="49"/>
      <c r="C236" s="49"/>
      <c r="D236" s="49"/>
      <c r="E236" s="49"/>
      <c r="F236" s="49"/>
      <c r="G236" s="49"/>
      <c r="H236" s="49"/>
    </row>
    <row r="237" spans="1:8" ht="7.5" customHeight="1">
      <c r="A237" s="49"/>
      <c r="B237" s="49"/>
      <c r="C237" s="49"/>
      <c r="D237" s="49"/>
      <c r="E237" s="49"/>
      <c r="F237" s="49"/>
      <c r="G237" s="49"/>
      <c r="H237" s="49"/>
    </row>
    <row r="238" spans="1:8" ht="7.5" customHeight="1">
      <c r="A238" s="49"/>
      <c r="B238" s="49"/>
      <c r="C238" s="49"/>
      <c r="D238" s="49"/>
      <c r="E238" s="49"/>
      <c r="F238" s="49"/>
      <c r="G238" s="49"/>
      <c r="H238" s="49"/>
    </row>
    <row r="239" spans="1:8" ht="7.5" customHeight="1">
      <c r="A239" s="49"/>
      <c r="B239" s="49"/>
      <c r="C239" s="49"/>
      <c r="D239" s="49"/>
      <c r="E239" s="49"/>
      <c r="F239" s="49"/>
      <c r="G239" s="49"/>
      <c r="H239" s="49"/>
    </row>
    <row r="240" spans="1:8" ht="7.5" customHeight="1">
      <c r="A240" s="49"/>
      <c r="B240" s="49"/>
      <c r="C240" s="49"/>
      <c r="D240" s="49"/>
      <c r="E240" s="49"/>
      <c r="F240" s="49"/>
      <c r="G240" s="49"/>
      <c r="H240" s="49"/>
    </row>
    <row r="241" spans="1:8" ht="7.5" customHeight="1">
      <c r="A241" s="49"/>
      <c r="B241" s="49"/>
      <c r="C241" s="49"/>
      <c r="D241" s="49"/>
      <c r="E241" s="49"/>
      <c r="F241" s="49"/>
      <c r="G241" s="49"/>
      <c r="H241" s="49"/>
    </row>
    <row r="242" spans="1:8" ht="7.5" customHeight="1">
      <c r="A242" s="49"/>
      <c r="B242" s="49"/>
      <c r="C242" s="49"/>
      <c r="D242" s="49"/>
      <c r="E242" s="49"/>
      <c r="F242" s="49"/>
      <c r="G242" s="49"/>
      <c r="H242" s="49"/>
    </row>
    <row r="243" spans="1:8" ht="7.5" customHeight="1">
      <c r="A243" s="49"/>
      <c r="B243" s="49"/>
      <c r="C243" s="49"/>
      <c r="D243" s="49"/>
      <c r="E243" s="49"/>
      <c r="F243" s="49"/>
      <c r="G243" s="49"/>
      <c r="H243" s="49"/>
    </row>
    <row r="244" spans="1:8" ht="7.5" customHeight="1">
      <c r="A244" s="49"/>
      <c r="B244" s="49"/>
      <c r="C244" s="49"/>
      <c r="D244" s="49"/>
      <c r="E244" s="49"/>
      <c r="F244" s="49"/>
      <c r="G244" s="49"/>
      <c r="H244" s="49"/>
    </row>
    <row r="245" spans="1:8" ht="7.5" customHeight="1">
      <c r="A245" s="49"/>
      <c r="B245" s="49"/>
      <c r="C245" s="49"/>
      <c r="D245" s="49"/>
      <c r="E245" s="49"/>
      <c r="F245" s="49"/>
      <c r="G245" s="49"/>
      <c r="H245" s="49"/>
    </row>
    <row r="246" spans="1:8" ht="7.5" customHeight="1">
      <c r="A246" s="49"/>
      <c r="B246" s="49"/>
      <c r="C246" s="49"/>
      <c r="D246" s="49"/>
      <c r="E246" s="49"/>
      <c r="F246" s="49"/>
      <c r="G246" s="49"/>
      <c r="H246" s="49"/>
    </row>
    <row r="247" spans="1:8" ht="7.5" customHeight="1">
      <c r="A247" s="49"/>
      <c r="B247" s="49"/>
      <c r="C247" s="49"/>
      <c r="D247" s="49"/>
      <c r="E247" s="49"/>
      <c r="F247" s="49"/>
      <c r="G247" s="49"/>
      <c r="H247" s="49"/>
    </row>
    <row r="248" spans="1:8" ht="7.5" customHeight="1">
      <c r="A248" s="49"/>
      <c r="B248" s="49"/>
      <c r="C248" s="49"/>
      <c r="D248" s="49"/>
      <c r="E248" s="49"/>
      <c r="F248" s="49"/>
      <c r="G248" s="49"/>
      <c r="H248" s="49"/>
    </row>
    <row r="249" spans="1:8" ht="7.5" customHeight="1">
      <c r="A249" s="49"/>
      <c r="B249" s="49"/>
      <c r="C249" s="49"/>
      <c r="D249" s="49"/>
      <c r="E249" s="49"/>
      <c r="F249" s="49"/>
      <c r="G249" s="49"/>
      <c r="H249" s="49"/>
    </row>
    <row r="250" spans="1:8" ht="7.5" customHeight="1">
      <c r="A250" s="49"/>
      <c r="B250" s="49"/>
      <c r="C250" s="49"/>
      <c r="D250" s="49"/>
      <c r="E250" s="49"/>
      <c r="F250" s="49"/>
      <c r="G250" s="49"/>
      <c r="H250" s="49"/>
    </row>
    <row r="251" spans="1:8" ht="7.5" customHeight="1">
      <c r="A251" s="49"/>
      <c r="B251" s="49"/>
      <c r="C251" s="49"/>
      <c r="D251" s="49"/>
      <c r="E251" s="49"/>
      <c r="F251" s="49"/>
      <c r="G251" s="49"/>
      <c r="H251" s="49"/>
    </row>
    <row r="252" spans="1:8" ht="7.5" customHeight="1">
      <c r="A252" s="49"/>
      <c r="B252" s="49"/>
      <c r="C252" s="49"/>
      <c r="D252" s="49"/>
      <c r="E252" s="49"/>
      <c r="F252" s="49"/>
      <c r="G252" s="49"/>
      <c r="H252" s="49"/>
    </row>
    <row r="253" spans="1:8" ht="7.5" customHeight="1">
      <c r="A253" s="49"/>
      <c r="B253" s="49"/>
      <c r="C253" s="49"/>
      <c r="D253" s="49"/>
      <c r="E253" s="49"/>
      <c r="F253" s="49"/>
      <c r="G253" s="49"/>
      <c r="H253" s="49"/>
    </row>
    <row r="254" spans="1:8" ht="7.5" customHeight="1">
      <c r="A254" s="49"/>
      <c r="B254" s="49"/>
      <c r="C254" s="49"/>
      <c r="D254" s="49"/>
      <c r="E254" s="49"/>
      <c r="F254" s="49"/>
      <c r="G254" s="49"/>
      <c r="H254" s="49"/>
    </row>
    <row r="255" spans="1:8" ht="7.5" customHeight="1">
      <c r="A255" s="49"/>
      <c r="B255" s="49"/>
      <c r="C255" s="49"/>
      <c r="D255" s="49"/>
      <c r="E255" s="49"/>
      <c r="F255" s="49"/>
      <c r="G255" s="49"/>
      <c r="H255" s="49"/>
    </row>
    <row r="256" spans="1:8" ht="7.5" customHeight="1">
      <c r="A256" s="49"/>
      <c r="B256" s="49"/>
      <c r="C256" s="49"/>
      <c r="D256" s="49"/>
      <c r="E256" s="49"/>
      <c r="F256" s="49"/>
      <c r="G256" s="49"/>
      <c r="H256" s="49"/>
    </row>
    <row r="257" spans="1:8" ht="7.5" customHeight="1">
      <c r="A257" s="49"/>
      <c r="B257" s="49"/>
      <c r="C257" s="49"/>
      <c r="D257" s="49"/>
      <c r="E257" s="49"/>
      <c r="F257" s="49"/>
      <c r="G257" s="49"/>
      <c r="H257" s="49"/>
    </row>
    <row r="258" spans="1:8" ht="7.5" customHeight="1">
      <c r="A258" s="49"/>
      <c r="B258" s="49"/>
      <c r="C258" s="49"/>
      <c r="D258" s="49"/>
      <c r="E258" s="49"/>
      <c r="F258" s="49"/>
      <c r="G258" s="49"/>
      <c r="H258" s="49"/>
    </row>
    <row r="259" spans="1:8" ht="7.5" customHeight="1">
      <c r="A259" s="49"/>
      <c r="B259" s="49"/>
      <c r="C259" s="49"/>
      <c r="D259" s="49"/>
      <c r="E259" s="49"/>
      <c r="F259" s="49"/>
      <c r="G259" s="49"/>
      <c r="H259" s="49"/>
    </row>
    <row r="260" spans="1:8" ht="7.5" customHeight="1">
      <c r="A260" s="49"/>
      <c r="B260" s="49"/>
      <c r="C260" s="49"/>
      <c r="D260" s="49"/>
      <c r="E260" s="49"/>
      <c r="F260" s="49"/>
      <c r="G260" s="49"/>
      <c r="H260" s="49"/>
    </row>
    <row r="261" spans="1:8" ht="7.5" customHeight="1">
      <c r="A261" s="49"/>
      <c r="B261" s="49"/>
      <c r="C261" s="49"/>
      <c r="D261" s="49"/>
      <c r="E261" s="49"/>
      <c r="F261" s="49"/>
      <c r="G261" s="49"/>
      <c r="H261" s="49"/>
    </row>
    <row r="262" spans="1:8" ht="7.5" customHeight="1">
      <c r="A262" s="49"/>
      <c r="B262" s="49"/>
      <c r="C262" s="49"/>
      <c r="D262" s="49"/>
      <c r="E262" s="49"/>
      <c r="F262" s="49"/>
      <c r="G262" s="49"/>
      <c r="H262" s="49"/>
    </row>
    <row r="263" spans="1:8" ht="7.5" customHeight="1">
      <c r="A263" s="49"/>
      <c r="B263" s="49"/>
      <c r="C263" s="49"/>
      <c r="D263" s="49"/>
      <c r="E263" s="49"/>
      <c r="F263" s="49"/>
      <c r="G263" s="49"/>
      <c r="H263" s="49"/>
    </row>
    <row r="264" spans="1:8" ht="7.5" customHeight="1">
      <c r="A264" s="49"/>
      <c r="B264" s="49"/>
      <c r="C264" s="49"/>
      <c r="D264" s="49"/>
      <c r="E264" s="49"/>
      <c r="F264" s="49"/>
      <c r="G264" s="49"/>
      <c r="H264" s="49"/>
    </row>
    <row r="265" spans="1:8" ht="7.5" customHeight="1">
      <c r="A265" s="49"/>
      <c r="B265" s="49"/>
      <c r="C265" s="49"/>
      <c r="D265" s="49"/>
      <c r="E265" s="49"/>
      <c r="F265" s="49"/>
      <c r="G265" s="49"/>
      <c r="H265" s="49"/>
    </row>
    <row r="266" spans="1:8" ht="7.5" customHeight="1">
      <c r="A266" s="49"/>
      <c r="B266" s="49"/>
      <c r="C266" s="49"/>
      <c r="D266" s="49"/>
      <c r="E266" s="49"/>
      <c r="F266" s="49"/>
      <c r="G266" s="49"/>
      <c r="H266" s="49"/>
    </row>
    <row r="267" spans="1:8" ht="7.5" customHeight="1">
      <c r="A267" s="49"/>
      <c r="B267" s="49"/>
      <c r="C267" s="49"/>
      <c r="D267" s="49"/>
      <c r="E267" s="49"/>
      <c r="F267" s="49"/>
      <c r="G267" s="49"/>
      <c r="H267" s="49"/>
    </row>
    <row r="268" spans="1:8" ht="7.5" customHeight="1">
      <c r="A268" s="49"/>
      <c r="B268" s="49"/>
      <c r="C268" s="49"/>
      <c r="D268" s="49"/>
      <c r="E268" s="49"/>
      <c r="F268" s="49"/>
      <c r="G268" s="49"/>
      <c r="H268" s="49"/>
    </row>
    <row r="269" spans="1:8" ht="7.5" customHeight="1">
      <c r="A269" s="49"/>
      <c r="B269" s="49"/>
      <c r="C269" s="49"/>
      <c r="D269" s="49"/>
      <c r="E269" s="49"/>
      <c r="F269" s="49"/>
      <c r="G269" s="49"/>
      <c r="H269" s="49"/>
    </row>
    <row r="270" spans="1:8" ht="7.5" customHeight="1">
      <c r="A270" s="49"/>
      <c r="B270" s="49"/>
      <c r="C270" s="49"/>
      <c r="D270" s="49"/>
      <c r="E270" s="49"/>
      <c r="F270" s="49"/>
      <c r="G270" s="49"/>
      <c r="H270" s="49"/>
    </row>
    <row r="271" spans="1:8" ht="7.5" customHeight="1">
      <c r="A271" s="49"/>
      <c r="B271" s="49"/>
      <c r="C271" s="49"/>
      <c r="D271" s="49"/>
      <c r="E271" s="49"/>
      <c r="F271" s="49"/>
      <c r="G271" s="49"/>
      <c r="H271" s="49"/>
    </row>
    <row r="272" spans="1:8" ht="7.5" customHeight="1">
      <c r="A272" s="49"/>
      <c r="B272" s="49"/>
      <c r="C272" s="49"/>
      <c r="D272" s="49"/>
      <c r="E272" s="49"/>
      <c r="F272" s="49"/>
      <c r="G272" s="49"/>
      <c r="H272" s="49"/>
    </row>
    <row r="273" spans="1:8" ht="7.5" customHeight="1">
      <c r="A273" s="49"/>
      <c r="B273" s="49"/>
      <c r="C273" s="49"/>
      <c r="D273" s="49"/>
      <c r="E273" s="49"/>
      <c r="F273" s="49"/>
      <c r="G273" s="49"/>
      <c r="H273" s="49"/>
    </row>
    <row r="274" spans="1:8" ht="7.5" customHeight="1">
      <c r="A274" s="49"/>
      <c r="B274" s="49"/>
      <c r="C274" s="49"/>
      <c r="D274" s="49"/>
      <c r="E274" s="49"/>
      <c r="F274" s="49"/>
      <c r="G274" s="49"/>
      <c r="H274" s="49"/>
    </row>
    <row r="275" spans="1:8" ht="7.5" customHeight="1">
      <c r="A275" s="49"/>
      <c r="B275" s="49"/>
      <c r="C275" s="49"/>
      <c r="D275" s="49"/>
      <c r="E275" s="49"/>
      <c r="F275" s="49"/>
      <c r="G275" s="49"/>
      <c r="H275" s="49"/>
    </row>
    <row r="276" spans="1:8" ht="7.5" customHeight="1">
      <c r="A276" s="49"/>
      <c r="B276" s="49"/>
      <c r="C276" s="49"/>
      <c r="D276" s="49"/>
      <c r="E276" s="49"/>
      <c r="F276" s="49"/>
      <c r="G276" s="49"/>
      <c r="H276" s="49"/>
    </row>
    <row r="277" spans="1:8" ht="7.5" customHeight="1">
      <c r="A277" s="49"/>
      <c r="B277" s="49"/>
      <c r="C277" s="49"/>
      <c r="D277" s="49"/>
      <c r="E277" s="49"/>
      <c r="F277" s="49"/>
      <c r="G277" s="49"/>
      <c r="H277" s="49"/>
    </row>
    <row r="278" spans="1:8" ht="7.5" customHeight="1">
      <c r="A278" s="49"/>
      <c r="B278" s="49"/>
      <c r="C278" s="49"/>
      <c r="D278" s="49"/>
      <c r="E278" s="49"/>
      <c r="F278" s="49"/>
      <c r="G278" s="49"/>
      <c r="H278" s="49"/>
    </row>
    <row r="279" spans="1:8" ht="7.5" customHeight="1">
      <c r="A279" s="49"/>
      <c r="B279" s="49"/>
      <c r="C279" s="49"/>
      <c r="D279" s="49"/>
      <c r="E279" s="49"/>
      <c r="F279" s="49"/>
      <c r="G279" s="49"/>
      <c r="H279" s="49"/>
    </row>
    <row r="280" spans="1:8" ht="7.5" customHeight="1">
      <c r="A280" s="49"/>
      <c r="B280" s="49"/>
      <c r="C280" s="49"/>
      <c r="D280" s="49"/>
      <c r="E280" s="49"/>
      <c r="F280" s="49"/>
      <c r="G280" s="49"/>
      <c r="H280" s="49"/>
    </row>
    <row r="281" spans="1:8" ht="7.5" customHeight="1">
      <c r="A281" s="49"/>
      <c r="B281" s="49"/>
      <c r="C281" s="49"/>
      <c r="D281" s="49"/>
      <c r="E281" s="49"/>
      <c r="F281" s="49"/>
      <c r="G281" s="49"/>
      <c r="H281" s="49"/>
    </row>
    <row r="282" spans="1:8" ht="7.5" customHeight="1">
      <c r="A282" s="49"/>
      <c r="B282" s="49"/>
      <c r="C282" s="49"/>
      <c r="D282" s="49"/>
      <c r="E282" s="49"/>
      <c r="F282" s="49"/>
      <c r="G282" s="49"/>
      <c r="H282" s="49"/>
    </row>
    <row r="283" spans="1:8" ht="7.5" customHeight="1">
      <c r="A283" s="49"/>
      <c r="B283" s="49"/>
      <c r="C283" s="49"/>
      <c r="D283" s="49"/>
      <c r="E283" s="49"/>
      <c r="F283" s="49"/>
      <c r="G283" s="49"/>
      <c r="H283" s="49"/>
    </row>
    <row r="284" spans="1:8" ht="7.5" customHeight="1">
      <c r="A284" s="49"/>
      <c r="B284" s="49"/>
      <c r="C284" s="49"/>
      <c r="D284" s="49"/>
      <c r="E284" s="49"/>
      <c r="F284" s="49"/>
      <c r="G284" s="49"/>
      <c r="H284" s="49"/>
    </row>
    <row r="285" spans="1:8" ht="7.5" customHeight="1">
      <c r="A285" s="49"/>
      <c r="B285" s="49"/>
      <c r="C285" s="49"/>
      <c r="D285" s="49"/>
      <c r="E285" s="49"/>
      <c r="F285" s="49"/>
      <c r="G285" s="49"/>
      <c r="H285" s="49"/>
    </row>
    <row r="286" spans="1:8" ht="7.5" customHeight="1">
      <c r="A286" s="49"/>
      <c r="B286" s="49"/>
      <c r="C286" s="49"/>
      <c r="D286" s="49"/>
      <c r="E286" s="49"/>
      <c r="F286" s="49"/>
      <c r="G286" s="49"/>
      <c r="H286" s="49"/>
    </row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Footer>&amp;C&amp;D&amp;T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100</v>
      </c>
      <c r="B1" s="1" t="s">
        <v>198</v>
      </c>
    </row>
    <row r="4" ht="12.75">
      <c r="A4" s="9" t="s">
        <v>101</v>
      </c>
    </row>
    <row r="6" spans="2:6" ht="12.75">
      <c r="B6" s="68" t="s">
        <v>102</v>
      </c>
      <c r="C6" s="68"/>
      <c r="D6" s="68" t="s">
        <v>103</v>
      </c>
      <c r="E6" s="69"/>
      <c r="F6" s="69"/>
    </row>
    <row r="7" spans="2:7" ht="12.75">
      <c r="B7" s="19" t="s">
        <v>75</v>
      </c>
      <c r="C7" s="13" t="s">
        <v>76</v>
      </c>
      <c r="D7" s="27" t="s">
        <v>104</v>
      </c>
      <c r="E7" s="27" t="s">
        <v>105</v>
      </c>
      <c r="F7" t="s">
        <v>106</v>
      </c>
      <c r="G7" t="s">
        <v>107</v>
      </c>
    </row>
    <row r="8" spans="1:5" ht="12.75">
      <c r="A8" s="13">
        <v>1901</v>
      </c>
      <c r="B8" s="19"/>
      <c r="C8" s="13"/>
      <c r="D8" s="11">
        <v>5441</v>
      </c>
      <c r="E8" s="11"/>
    </row>
    <row r="9" spans="1:5" ht="12.75">
      <c r="A9" s="13">
        <v>1902</v>
      </c>
      <c r="B9" s="11">
        <v>363612</v>
      </c>
      <c r="C9" s="11">
        <v>4772126</v>
      </c>
      <c r="D9" s="11">
        <v>5375</v>
      </c>
      <c r="E9" s="11"/>
    </row>
    <row r="10" spans="1:7" ht="12.75">
      <c r="A10" s="13">
        <v>1903</v>
      </c>
      <c r="B10" s="11">
        <v>386032</v>
      </c>
      <c r="C10" s="11">
        <v>4923948</v>
      </c>
      <c r="D10" s="11">
        <v>5407</v>
      </c>
      <c r="E10" s="11">
        <v>5004</v>
      </c>
      <c r="F10" s="22">
        <f>100*E10/D10</f>
        <v>92.54669872387646</v>
      </c>
      <c r="G10" s="22">
        <f>C10/(10*E10)</f>
        <v>98.40023980815347</v>
      </c>
    </row>
    <row r="11" spans="1:7" ht="12.75">
      <c r="A11" s="13">
        <v>1904</v>
      </c>
      <c r="B11" s="11">
        <v>381601</v>
      </c>
      <c r="C11" s="11">
        <v>5273806</v>
      </c>
      <c r="D11" s="11">
        <v>5710</v>
      </c>
      <c r="E11" s="11">
        <v>5323</v>
      </c>
      <c r="F11" s="22">
        <f aca="true" t="shared" si="0" ref="F11:F20">100*E11/D11</f>
        <v>93.22241681260945</v>
      </c>
      <c r="G11" s="22">
        <f aca="true" t="shared" si="1" ref="G11:G20">C11/(10*E11)</f>
        <v>99.07582190494082</v>
      </c>
    </row>
    <row r="12" spans="1:7" ht="12.75">
      <c r="A12" s="13">
        <v>1905</v>
      </c>
      <c r="B12" s="11">
        <v>385019</v>
      </c>
      <c r="C12" s="11">
        <v>5746889</v>
      </c>
      <c r="D12" s="11">
        <v>6172</v>
      </c>
      <c r="E12" s="11">
        <v>5780</v>
      </c>
      <c r="F12" s="22">
        <f t="shared" si="0"/>
        <v>93.64873622812702</v>
      </c>
      <c r="G12" s="22">
        <f t="shared" si="1"/>
        <v>99.42714532871972</v>
      </c>
    </row>
    <row r="13" spans="1:7" ht="12.75">
      <c r="A13" s="13">
        <v>1906</v>
      </c>
      <c r="B13" s="11"/>
      <c r="C13" s="11"/>
      <c r="D13" s="11">
        <v>5675</v>
      </c>
      <c r="E13" s="11">
        <v>5200</v>
      </c>
      <c r="F13" s="22">
        <f t="shared" si="0"/>
        <v>91.62995594713657</v>
      </c>
      <c r="G13" s="22"/>
    </row>
    <row r="14" spans="1:7" ht="12.75">
      <c r="A14" s="13">
        <v>1907</v>
      </c>
      <c r="B14" s="11">
        <v>401574</v>
      </c>
      <c r="C14" s="11">
        <v>5461843</v>
      </c>
      <c r="D14" s="11">
        <v>5901</v>
      </c>
      <c r="E14" s="11">
        <v>5479</v>
      </c>
      <c r="F14" s="22">
        <f t="shared" si="0"/>
        <v>92.84866971699712</v>
      </c>
      <c r="G14" s="22">
        <f t="shared" si="1"/>
        <v>99.68685891586055</v>
      </c>
    </row>
    <row r="15" spans="1:7" ht="12.75">
      <c r="A15" s="13">
        <v>1908</v>
      </c>
      <c r="B15" s="11"/>
      <c r="C15" s="11"/>
      <c r="D15" s="11">
        <v>5905</v>
      </c>
      <c r="E15" s="11">
        <v>5373</v>
      </c>
      <c r="F15" s="22">
        <f t="shared" si="0"/>
        <v>90.99068585944116</v>
      </c>
      <c r="G15" s="22">
        <f t="shared" si="1"/>
        <v>0</v>
      </c>
    </row>
    <row r="16" spans="1:7" ht="12.75">
      <c r="A16" s="13">
        <v>1909</v>
      </c>
      <c r="B16" s="11">
        <v>379418</v>
      </c>
      <c r="C16" s="11">
        <v>5740436</v>
      </c>
      <c r="D16" s="11">
        <v>6159</v>
      </c>
      <c r="E16" s="11">
        <v>5755</v>
      </c>
      <c r="F16" s="22">
        <f t="shared" si="0"/>
        <v>93.4404935866212</v>
      </c>
      <c r="G16" s="22">
        <f t="shared" si="1"/>
        <v>99.74693310165074</v>
      </c>
    </row>
    <row r="17" spans="1:7" ht="12.75">
      <c r="A17" s="13">
        <v>1910</v>
      </c>
      <c r="B17" s="11">
        <v>359836</v>
      </c>
      <c r="C17" s="11">
        <v>5319982</v>
      </c>
      <c r="D17" s="11">
        <v>5699</v>
      </c>
      <c r="E17" s="11">
        <v>5330</v>
      </c>
      <c r="F17" s="22">
        <f t="shared" si="0"/>
        <v>93.5251798561151</v>
      </c>
      <c r="G17" s="22">
        <f t="shared" si="1"/>
        <v>99.81204502814259</v>
      </c>
    </row>
    <row r="18" spans="1:7" ht="12.75">
      <c r="A18" s="13">
        <v>1911</v>
      </c>
      <c r="B18" s="11">
        <v>359113</v>
      </c>
      <c r="C18" s="11">
        <v>5761725</v>
      </c>
      <c r="D18" s="11">
        <v>6140</v>
      </c>
      <c r="E18" s="11">
        <v>5762</v>
      </c>
      <c r="F18" s="22">
        <f t="shared" si="0"/>
        <v>93.84364820846906</v>
      </c>
      <c r="G18" s="22">
        <f t="shared" si="1"/>
        <v>99.99522735161402</v>
      </c>
    </row>
    <row r="19" spans="1:7" ht="12.75">
      <c r="A19" s="13">
        <v>1912</v>
      </c>
      <c r="B19" s="11">
        <v>358921</v>
      </c>
      <c r="C19" s="11">
        <v>5577146</v>
      </c>
      <c r="D19" s="11">
        <v>5943</v>
      </c>
      <c r="E19" s="11">
        <v>5577</v>
      </c>
      <c r="F19" s="22">
        <f t="shared" si="0"/>
        <v>93.84149419485108</v>
      </c>
      <c r="G19" s="22">
        <f t="shared" si="1"/>
        <v>100.00261789492559</v>
      </c>
    </row>
    <row r="20" spans="1:7" ht="12.75">
      <c r="A20" s="13">
        <v>1913</v>
      </c>
      <c r="B20" s="11">
        <v>360539</v>
      </c>
      <c r="C20" s="11">
        <v>5531523</v>
      </c>
      <c r="D20" s="11">
        <v>5907</v>
      </c>
      <c r="E20" s="11">
        <v>5532</v>
      </c>
      <c r="F20" s="22">
        <f t="shared" si="0"/>
        <v>93.65159979685119</v>
      </c>
      <c r="G20" s="22">
        <f t="shared" si="1"/>
        <v>99.99137744034707</v>
      </c>
    </row>
    <row r="21" spans="1:7" ht="12.75">
      <c r="A21" s="13" t="s">
        <v>74</v>
      </c>
      <c r="B21" s="11"/>
      <c r="C21" s="11">
        <f>AVERAGE(C10:C20)</f>
        <v>5481922</v>
      </c>
      <c r="D21" s="11">
        <f>(D10+D11+D12+D14+D16+D17+D18+D19+D20)/9</f>
        <v>5893.111111111111</v>
      </c>
      <c r="E21" s="11">
        <f>(E10+E11+E12+E14+E16+E17+E18+E19+E20)/9</f>
        <v>5504.666666666667</v>
      </c>
      <c r="F21" s="22">
        <f>100*E21/D21</f>
        <v>93.40849956634867</v>
      </c>
      <c r="G21" s="22">
        <f>C21/(10*E21)</f>
        <v>99.58681119050502</v>
      </c>
    </row>
    <row r="22" spans="1:7" ht="12.75">
      <c r="A22" s="13" t="s">
        <v>74</v>
      </c>
      <c r="B22" s="11"/>
      <c r="C22" s="11">
        <f>AVERAGE(C9:C20)</f>
        <v>5410942.4</v>
      </c>
      <c r="D22" s="11">
        <f>C22*D21/C21</f>
        <v>5816.807458957319</v>
      </c>
      <c r="E22" s="11"/>
      <c r="F22" s="22"/>
      <c r="G22" s="22"/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  <row r="27" ht="12.75">
      <c r="A27" t="s">
        <v>111</v>
      </c>
    </row>
    <row r="28" ht="12.75">
      <c r="A28" t="s">
        <v>112</v>
      </c>
    </row>
  </sheetData>
  <mergeCells count="2">
    <mergeCell ref="B6:C6"/>
    <mergeCell ref="D6:F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1">
      <selection activeCell="A16" sqref="A16"/>
    </sheetView>
  </sheetViews>
  <sheetFormatPr defaultColWidth="11.421875" defaultRowHeight="12.75"/>
  <cols>
    <col min="1" max="67" width="10.7109375" style="0" customWidth="1"/>
  </cols>
  <sheetData>
    <row r="1" spans="1:2" ht="12.75">
      <c r="A1" t="s">
        <v>39</v>
      </c>
      <c r="B1" s="1" t="s">
        <v>40</v>
      </c>
    </row>
    <row r="2" ht="12.75">
      <c r="B2" s="1" t="s">
        <v>71</v>
      </c>
    </row>
    <row r="3" ht="12.75">
      <c r="B3" s="1" t="s">
        <v>72</v>
      </c>
    </row>
    <row r="5" ht="12.75">
      <c r="A5" s="9" t="s">
        <v>41</v>
      </c>
    </row>
    <row r="7" spans="2:8" ht="12.75">
      <c r="B7" t="s">
        <v>29</v>
      </c>
      <c r="C7" t="s">
        <v>30</v>
      </c>
      <c r="D7" t="s">
        <v>6</v>
      </c>
      <c r="E7" t="s">
        <v>31</v>
      </c>
      <c r="F7" t="s">
        <v>32</v>
      </c>
      <c r="G7" t="s">
        <v>43</v>
      </c>
      <c r="H7" t="s">
        <v>6</v>
      </c>
    </row>
    <row r="8" spans="1:8" ht="12.75">
      <c r="A8" t="s">
        <v>33</v>
      </c>
      <c r="B8">
        <v>30920</v>
      </c>
      <c r="C8">
        <f>B8-(5210+4689+1179+545+1128)</f>
        <v>18169</v>
      </c>
      <c r="D8" s="6">
        <f>100*C8/B8</f>
        <v>58.761319534282016</v>
      </c>
      <c r="E8">
        <v>251846607</v>
      </c>
      <c r="F8" s="4">
        <f>E8/C8</f>
        <v>13861.335626616765</v>
      </c>
      <c r="G8">
        <v>4790</v>
      </c>
      <c r="H8" s="6">
        <f>100*G8/C8</f>
        <v>26.363586328361496</v>
      </c>
    </row>
    <row r="9" spans="1:8" ht="12.75">
      <c r="A9" t="s">
        <v>34</v>
      </c>
      <c r="B9">
        <v>47843</v>
      </c>
      <c r="C9">
        <f>B9-(5667+3093+718+449+1073)</f>
        <v>36843</v>
      </c>
      <c r="D9" s="6">
        <f>100*C9/B9</f>
        <v>77.00813076103087</v>
      </c>
      <c r="E9">
        <v>1991459000</v>
      </c>
      <c r="F9" s="4">
        <f>E9/C9</f>
        <v>54052.574437477946</v>
      </c>
      <c r="G9">
        <v>16572</v>
      </c>
      <c r="H9" s="6">
        <f>100*G9/C9</f>
        <v>44.98005048448823</v>
      </c>
    </row>
    <row r="10" spans="1:8" ht="12.75">
      <c r="A10" t="s">
        <v>35</v>
      </c>
      <c r="B10" s="2">
        <f aca="true" t="shared" si="0" ref="B10:H10">B9/B8</f>
        <v>1.5473156532988357</v>
      </c>
      <c r="C10" s="2">
        <f t="shared" si="0"/>
        <v>2.027794595189609</v>
      </c>
      <c r="D10" s="2">
        <f t="shared" si="0"/>
        <v>1.3105241912769412</v>
      </c>
      <c r="E10" s="2">
        <f t="shared" si="0"/>
        <v>7.90742834982883</v>
      </c>
      <c r="F10" s="2">
        <f t="shared" si="0"/>
        <v>3.899521366013626</v>
      </c>
      <c r="G10" s="2">
        <f t="shared" si="0"/>
        <v>3.459707724425887</v>
      </c>
      <c r="H10" s="2">
        <f t="shared" si="0"/>
        <v>1.7061430840347946</v>
      </c>
    </row>
    <row r="11" spans="2:7" ht="12.75">
      <c r="B11" t="s">
        <v>29</v>
      </c>
      <c r="C11" t="s">
        <v>30</v>
      </c>
      <c r="D11" t="s">
        <v>6</v>
      </c>
      <c r="E11" t="s">
        <v>31</v>
      </c>
      <c r="F11" t="s">
        <v>32</v>
      </c>
      <c r="G11" t="s">
        <v>43</v>
      </c>
    </row>
    <row r="12" spans="1:6" ht="12.75">
      <c r="A12" t="s">
        <v>37</v>
      </c>
      <c r="B12">
        <v>849100</v>
      </c>
      <c r="C12" s="7">
        <f>D8*B12/100</f>
        <v>498942.36416558863</v>
      </c>
      <c r="D12" s="8">
        <f>100*C12/B12</f>
        <v>58.761319534282016</v>
      </c>
      <c r="E12">
        <v>2055000000</v>
      </c>
      <c r="F12" s="4">
        <f>E12/C12</f>
        <v>4118.712195218581</v>
      </c>
    </row>
    <row r="13" spans="1:8" ht="12.75">
      <c r="A13" t="s">
        <v>38</v>
      </c>
      <c r="B13">
        <v>770200</v>
      </c>
      <c r="C13" s="7">
        <f>D9*B13/100</f>
        <v>593116.6231214597</v>
      </c>
      <c r="D13" s="8">
        <f>100*C13/B13</f>
        <v>77.00813076103087</v>
      </c>
      <c r="E13">
        <v>5746889000</v>
      </c>
      <c r="F13" s="4">
        <f>E13/C13</f>
        <v>9689.306918688635</v>
      </c>
      <c r="G13">
        <v>385019</v>
      </c>
      <c r="H13" s="6">
        <f>100*G13/C13</f>
        <v>64.91455221297262</v>
      </c>
    </row>
    <row r="14" spans="1:6" ht="12.75">
      <c r="A14" t="s">
        <v>35</v>
      </c>
      <c r="B14" s="2">
        <f>B13/B12</f>
        <v>0.9070780826757744</v>
      </c>
      <c r="C14" s="2">
        <f>C13/C12</f>
        <v>1.1887477707237075</v>
      </c>
      <c r="D14" s="2">
        <f>D13/D12</f>
        <v>1.3105241912769412</v>
      </c>
      <c r="E14" s="2">
        <f>E13/E12</f>
        <v>2.796539659367397</v>
      </c>
      <c r="F14" s="2">
        <f>F13/F12</f>
        <v>2.352508857000731</v>
      </c>
    </row>
    <row r="16" ht="12.75">
      <c r="A16" t="s">
        <v>42</v>
      </c>
    </row>
    <row r="18" ht="12.75">
      <c r="A18" s="1" t="s">
        <v>44</v>
      </c>
    </row>
    <row r="19" ht="12.75">
      <c r="A19" s="1" t="s">
        <v>45</v>
      </c>
    </row>
    <row r="20" ht="12.75">
      <c r="A20" s="1" t="s">
        <v>46</v>
      </c>
    </row>
    <row r="21" ht="12.75">
      <c r="A21" s="1"/>
    </row>
    <row r="22" spans="2:8" ht="12.75">
      <c r="B22" t="s">
        <v>29</v>
      </c>
      <c r="C22" t="s">
        <v>30</v>
      </c>
      <c r="D22" t="s">
        <v>6</v>
      </c>
      <c r="E22" t="s">
        <v>31</v>
      </c>
      <c r="F22" t="s">
        <v>32</v>
      </c>
      <c r="G22" t="s">
        <v>43</v>
      </c>
      <c r="H22" t="s">
        <v>6</v>
      </c>
    </row>
    <row r="23" spans="1:8" ht="12.75">
      <c r="A23" t="s">
        <v>36</v>
      </c>
      <c r="B23">
        <v>47843</v>
      </c>
      <c r="C23">
        <f>B23-(5667+3093+718+449+1073)</f>
        <v>36843</v>
      </c>
      <c r="D23" s="6">
        <f>100*C23/B23</f>
        <v>77.00813076103087</v>
      </c>
      <c r="E23">
        <v>1991459000</v>
      </c>
      <c r="F23" s="4">
        <f>E23/C23</f>
        <v>54052.574437477946</v>
      </c>
      <c r="G23">
        <v>16572</v>
      </c>
      <c r="H23" s="6">
        <f>100*G23/C23</f>
        <v>44.98005048448823</v>
      </c>
    </row>
    <row r="24" spans="4:8" ht="12.75">
      <c r="D24" s="6"/>
      <c r="F24" s="4"/>
      <c r="H24" s="6"/>
    </row>
    <row r="25" ht="12.75">
      <c r="A25" s="9" t="s">
        <v>47</v>
      </c>
    </row>
    <row r="28" spans="1:9" ht="12.75">
      <c r="A28" t="s">
        <v>69</v>
      </c>
      <c r="C28" t="s">
        <v>49</v>
      </c>
      <c r="D28" t="s">
        <v>11</v>
      </c>
      <c r="E28" t="s">
        <v>12</v>
      </c>
      <c r="F28" t="s">
        <v>13</v>
      </c>
      <c r="G28" t="s">
        <v>14</v>
      </c>
      <c r="H28" t="s">
        <v>15</v>
      </c>
      <c r="I28" t="s">
        <v>16</v>
      </c>
    </row>
    <row r="29" spans="1:9" ht="12.75">
      <c r="A29">
        <v>1847</v>
      </c>
      <c r="C29">
        <v>285</v>
      </c>
      <c r="D29">
        <v>7431</v>
      </c>
      <c r="E29">
        <v>43341</v>
      </c>
      <c r="F29">
        <v>310380</v>
      </c>
      <c r="G29">
        <v>511313</v>
      </c>
      <c r="H29">
        <v>1143177</v>
      </c>
      <c r="I29">
        <v>7236204</v>
      </c>
    </row>
    <row r="30" spans="1:9" ht="12.75">
      <c r="A30">
        <v>1905</v>
      </c>
      <c r="C30" s="4">
        <v>8767.863616383269</v>
      </c>
      <c r="D30" s="4">
        <v>42365.382000820646</v>
      </c>
      <c r="E30" s="4">
        <v>111810.95730174925</v>
      </c>
      <c r="F30" s="4">
        <v>834850.8083717315</v>
      </c>
      <c r="G30" s="4">
        <v>1444478.0857636165</v>
      </c>
      <c r="H30" s="4">
        <v>5016018.136127068</v>
      </c>
      <c r="I30" s="4">
        <v>24174848.279506087</v>
      </c>
    </row>
    <row r="31" spans="1:9" ht="12.75">
      <c r="A31" t="s">
        <v>57</v>
      </c>
      <c r="C31" s="6">
        <f>C30/C29</f>
        <v>30.76443374169568</v>
      </c>
      <c r="D31" s="6">
        <f aca="true" t="shared" si="1" ref="D31:I31">D30/D29</f>
        <v>5.701168348919478</v>
      </c>
      <c r="E31" s="6">
        <f t="shared" si="1"/>
        <v>2.579796435286432</v>
      </c>
      <c r="F31" s="6">
        <f t="shared" si="1"/>
        <v>2.689769986377123</v>
      </c>
      <c r="G31" s="6">
        <f t="shared" si="1"/>
        <v>2.8250368869236975</v>
      </c>
      <c r="H31" s="6">
        <f t="shared" si="1"/>
        <v>4.387787836990307</v>
      </c>
      <c r="I31" s="6">
        <f t="shared" si="1"/>
        <v>3.340819064734229</v>
      </c>
    </row>
    <row r="33" spans="1:9" ht="12.75">
      <c r="A33" t="s">
        <v>69</v>
      </c>
      <c r="B33" t="s">
        <v>61</v>
      </c>
      <c r="C33" t="s">
        <v>50</v>
      </c>
      <c r="D33" t="s">
        <v>51</v>
      </c>
      <c r="E33" t="s">
        <v>52</v>
      </c>
      <c r="F33" t="s">
        <v>53</v>
      </c>
      <c r="G33" t="s">
        <v>54</v>
      </c>
      <c r="H33" t="s">
        <v>55</v>
      </c>
      <c r="I33" t="s">
        <v>56</v>
      </c>
    </row>
    <row r="34" spans="1:9" ht="12.75">
      <c r="A34">
        <v>1847</v>
      </c>
      <c r="B34" s="4">
        <v>13861.335626616765</v>
      </c>
      <c r="C34" s="4">
        <v>69265.17198679142</v>
      </c>
      <c r="D34">
        <v>136462</v>
      </c>
      <c r="E34">
        <v>252821</v>
      </c>
      <c r="F34">
        <v>772098</v>
      </c>
      <c r="G34">
        <v>1147694</v>
      </c>
      <c r="H34">
        <v>2937963</v>
      </c>
      <c r="I34">
        <v>9551051</v>
      </c>
    </row>
    <row r="35" spans="1:9" ht="12.75">
      <c r="A35">
        <v>1905</v>
      </c>
      <c r="B35" s="4">
        <v>54052.574437477946</v>
      </c>
      <c r="C35" s="4">
        <v>267830.97022299527</v>
      </c>
      <c r="D35" s="4">
        <v>517977.12017887627</v>
      </c>
      <c r="E35" s="4">
        <v>967285.686288601</v>
      </c>
      <c r="F35" s="4">
        <v>3553693.083248157</v>
      </c>
      <c r="G35" s="4">
        <v>5998490.165409261</v>
      </c>
      <c r="H35" s="4">
        <v>20241205.768742424</v>
      </c>
      <c r="I35" s="4">
        <v>125269668.35744062</v>
      </c>
    </row>
    <row r="36" spans="1:9" ht="12.75">
      <c r="A36" t="s">
        <v>57</v>
      </c>
      <c r="B36" s="6">
        <f aca="true" t="shared" si="2" ref="B36:I36">B35/B34</f>
        <v>3.899521366013626</v>
      </c>
      <c r="C36" s="6">
        <f t="shared" si="2"/>
        <v>3.8667480718025145</v>
      </c>
      <c r="D36" s="6">
        <f t="shared" si="2"/>
        <v>3.795760872469085</v>
      </c>
      <c r="E36" s="6">
        <f t="shared" si="2"/>
        <v>3.825970494098991</v>
      </c>
      <c r="F36" s="6">
        <f t="shared" si="2"/>
        <v>4.602645108843899</v>
      </c>
      <c r="G36" s="6">
        <f t="shared" si="2"/>
        <v>5.226558791288673</v>
      </c>
      <c r="H36" s="6">
        <f t="shared" si="2"/>
        <v>6.889537332070698</v>
      </c>
      <c r="I36" s="6">
        <f t="shared" si="2"/>
        <v>13.115799335323477</v>
      </c>
    </row>
    <row r="38" spans="1:9" ht="12.75">
      <c r="A38" t="s">
        <v>69</v>
      </c>
      <c r="B38" t="s">
        <v>62</v>
      </c>
      <c r="C38" t="s">
        <v>63</v>
      </c>
      <c r="D38" t="s">
        <v>64</v>
      </c>
      <c r="E38" t="s">
        <v>65</v>
      </c>
      <c r="F38" t="s">
        <v>66</v>
      </c>
      <c r="G38" t="s">
        <v>67</v>
      </c>
      <c r="H38" t="s">
        <v>68</v>
      </c>
      <c r="I38" t="s">
        <v>56</v>
      </c>
    </row>
    <row r="39" spans="1:9" ht="12.75">
      <c r="A39">
        <v>1847</v>
      </c>
      <c r="B39" s="4">
        <f>(100*B34-20*C34)/80</f>
        <v>10.37653657310002</v>
      </c>
      <c r="C39" s="4">
        <f>(20*C34-10*D34)/10</f>
        <v>2068.3439735828433</v>
      </c>
      <c r="D39" s="4">
        <f>(10*D34-5*E34)/5</f>
        <v>20103</v>
      </c>
      <c r="E39" s="4">
        <f>(5*E34-1*F34)/4</f>
        <v>123001.75</v>
      </c>
      <c r="F39" s="4">
        <f>(1*F34-0.5*G34)/0.5</f>
        <v>396502</v>
      </c>
      <c r="G39" s="4">
        <f>(0.5*G34-0.1*H34)/0.4</f>
        <v>700126.75</v>
      </c>
      <c r="H39" s="4">
        <f>(0.1*H34-0.01*I34)/0.09</f>
        <v>2203175.4444444445</v>
      </c>
      <c r="I39" s="4">
        <f>I34</f>
        <v>9551051</v>
      </c>
    </row>
    <row r="40" spans="1:9" ht="12.75">
      <c r="A40">
        <v>1905</v>
      </c>
      <c r="B40" s="4">
        <f>(100*B35-20*C35)/80</f>
        <v>607.9754910986172</v>
      </c>
      <c r="C40" s="4">
        <f>(20*C35-10*D35)/10</f>
        <v>17684.820267114228</v>
      </c>
      <c r="D40" s="4">
        <f>(10*D35-5*E35)/5</f>
        <v>68668.55406915155</v>
      </c>
      <c r="E40" s="4">
        <f>(5*E35-1*F35)/4</f>
        <v>320683.83704871195</v>
      </c>
      <c r="F40" s="4">
        <f>(1*F35-0.5*G35)/0.5</f>
        <v>1108896.0010870527</v>
      </c>
      <c r="G40" s="4">
        <f>(0.5*G35-0.1*H35)/0.4</f>
        <v>2437811.2645759704</v>
      </c>
      <c r="H40" s="4">
        <f>(0.1*H35-0.01*I35)/0.09</f>
        <v>8571376.592220403</v>
      </c>
      <c r="I40" s="4">
        <f>I35</f>
        <v>125269668.35744062</v>
      </c>
    </row>
    <row r="41" spans="1:9" ht="12.75">
      <c r="A41" t="s">
        <v>57</v>
      </c>
      <c r="B41" s="6">
        <f aca="true" t="shared" si="3" ref="B41:I41">B40/B39</f>
        <v>58.59136975190006</v>
      </c>
      <c r="C41" s="6">
        <f t="shared" si="3"/>
        <v>8.550231727888127</v>
      </c>
      <c r="D41" s="6">
        <f t="shared" si="3"/>
        <v>3.4158361472989878</v>
      </c>
      <c r="E41" s="6">
        <f t="shared" si="3"/>
        <v>2.607148573485434</v>
      </c>
      <c r="F41" s="6">
        <f t="shared" si="3"/>
        <v>2.7966971190234924</v>
      </c>
      <c r="G41" s="6">
        <f t="shared" si="3"/>
        <v>3.48195703788774</v>
      </c>
      <c r="H41" s="6">
        <f t="shared" si="3"/>
        <v>3.8904648351242734</v>
      </c>
      <c r="I41" s="6">
        <f t="shared" si="3"/>
        <v>13.115799335323477</v>
      </c>
    </row>
    <row r="43" spans="1:9" ht="12.75">
      <c r="A43" t="s">
        <v>70</v>
      </c>
      <c r="B43" t="s">
        <v>61</v>
      </c>
      <c r="C43" t="s">
        <v>50</v>
      </c>
      <c r="D43" t="s">
        <v>51</v>
      </c>
      <c r="E43" t="s">
        <v>52</v>
      </c>
      <c r="F43" t="s">
        <v>53</v>
      </c>
      <c r="G43" t="s">
        <v>54</v>
      </c>
      <c r="H43" t="s">
        <v>55</v>
      </c>
      <c r="I43" t="s">
        <v>56</v>
      </c>
    </row>
    <row r="44" spans="1:9" ht="12.75">
      <c r="A44">
        <v>1847</v>
      </c>
      <c r="B44" s="6">
        <f>100*B34/$B34</f>
        <v>100</v>
      </c>
      <c r="C44" s="6">
        <f>20*C34/$B34</f>
        <v>99.94011234211413</v>
      </c>
      <c r="D44" s="6">
        <f>10*D34/$B34</f>
        <v>98.44794446645056</v>
      </c>
      <c r="E44" s="6">
        <f>5*E34/$B34</f>
        <v>91.19647875581663</v>
      </c>
      <c r="F44" s="6">
        <f>1*F34/$B34</f>
        <v>55.70155869521006</v>
      </c>
      <c r="G44" s="6">
        <f>0.5*G34/$B34</f>
        <v>41.39911300452819</v>
      </c>
      <c r="H44" s="6">
        <f>0.1*H34/$B34</f>
        <v>21.19538173766224</v>
      </c>
      <c r="I44" s="6">
        <f>0.01*I34/$B34</f>
        <v>6.890426187834247</v>
      </c>
    </row>
    <row r="45" spans="1:9" ht="12.75">
      <c r="A45">
        <v>1905</v>
      </c>
      <c r="B45" s="6">
        <f>100*B35/$B35</f>
        <v>100</v>
      </c>
      <c r="C45" s="6">
        <f>20*C35/$B35</f>
        <v>99.1001716422564</v>
      </c>
      <c r="D45" s="6">
        <f>10*D35/$B35</f>
        <v>95.82839033467593</v>
      </c>
      <c r="E45" s="6">
        <f>5*E35/$B35</f>
        <v>89.47637521016232</v>
      </c>
      <c r="F45" s="6">
        <f>1*F35/$B35</f>
        <v>65.74512167516974</v>
      </c>
      <c r="G45" s="6">
        <f>0.5*G35/$B35</f>
        <v>55.487552885641485</v>
      </c>
      <c r="H45" s="6">
        <f>0.1*H35/$B35</f>
        <v>37.4472557124087</v>
      </c>
      <c r="I45" s="6">
        <f>0.01*I35/$B35</f>
        <v>23.175523027555098</v>
      </c>
    </row>
    <row r="46" spans="1:9" ht="12.75">
      <c r="A46" t="s">
        <v>57</v>
      </c>
      <c r="B46" s="2">
        <f aca="true" t="shared" si="4" ref="B46:I46">B45/B44</f>
        <v>1</v>
      </c>
      <c r="C46" s="2">
        <f t="shared" si="4"/>
        <v>0.9915955597790159</v>
      </c>
      <c r="D46" s="2">
        <f t="shared" si="4"/>
        <v>0.9733914796700774</v>
      </c>
      <c r="E46" s="2">
        <f t="shared" si="4"/>
        <v>0.98113848726265</v>
      </c>
      <c r="F46" s="2">
        <f t="shared" si="4"/>
        <v>1.180310268064785</v>
      </c>
      <c r="G46" s="2">
        <f t="shared" si="4"/>
        <v>1.3403077713180067</v>
      </c>
      <c r="H46" s="2">
        <f t="shared" si="4"/>
        <v>1.766764863020531</v>
      </c>
      <c r="I46" s="2">
        <f t="shared" si="4"/>
        <v>3.3634382541494827</v>
      </c>
    </row>
    <row r="48" spans="1:9" ht="12.75">
      <c r="A48" t="s">
        <v>70</v>
      </c>
      <c r="B48" t="s">
        <v>62</v>
      </c>
      <c r="C48" t="s">
        <v>63</v>
      </c>
      <c r="D48" t="s">
        <v>64</v>
      </c>
      <c r="E48" t="s">
        <v>65</v>
      </c>
      <c r="F48" t="s">
        <v>66</v>
      </c>
      <c r="G48" t="s">
        <v>67</v>
      </c>
      <c r="H48" t="s">
        <v>68</v>
      </c>
      <c r="I48" t="s">
        <v>56</v>
      </c>
    </row>
    <row r="49" spans="1:9" ht="12.75">
      <c r="A49">
        <v>1847</v>
      </c>
      <c r="B49" s="6">
        <f>B44-C44</f>
        <v>0.059887657885866474</v>
      </c>
      <c r="C49" s="6">
        <f aca="true" t="shared" si="5" ref="C49:I49">C44-D44</f>
        <v>1.4921678756635686</v>
      </c>
      <c r="D49" s="6">
        <f t="shared" si="5"/>
        <v>7.251465710633937</v>
      </c>
      <c r="E49" s="6">
        <f t="shared" si="5"/>
        <v>35.49492006060657</v>
      </c>
      <c r="F49" s="6">
        <f t="shared" si="5"/>
        <v>14.302445690681871</v>
      </c>
      <c r="G49" s="6">
        <f t="shared" si="5"/>
        <v>20.203731266865947</v>
      </c>
      <c r="H49" s="6">
        <f t="shared" si="5"/>
        <v>14.304955549827994</v>
      </c>
      <c r="I49" s="6">
        <f t="shared" si="5"/>
        <v>6.890426187834247</v>
      </c>
    </row>
    <row r="50" spans="1:9" ht="12.75">
      <c r="A50">
        <v>1905</v>
      </c>
      <c r="B50" s="6">
        <f aca="true" t="shared" si="6" ref="B50:I50">B45-C45</f>
        <v>0.8998283577436013</v>
      </c>
      <c r="C50" s="6">
        <f t="shared" si="6"/>
        <v>3.2717813075804685</v>
      </c>
      <c r="D50" s="6">
        <f t="shared" si="6"/>
        <v>6.352015124513613</v>
      </c>
      <c r="E50" s="6">
        <f t="shared" si="6"/>
        <v>23.731253534992575</v>
      </c>
      <c r="F50" s="6">
        <f t="shared" si="6"/>
        <v>10.257568789528257</v>
      </c>
      <c r="G50" s="6">
        <f t="shared" si="6"/>
        <v>18.040297173232787</v>
      </c>
      <c r="H50" s="6">
        <f t="shared" si="6"/>
        <v>14.2717326848536</v>
      </c>
      <c r="I50" s="6">
        <f t="shared" si="6"/>
        <v>23.175523027555098</v>
      </c>
    </row>
    <row r="51" spans="1:9" ht="12.75">
      <c r="A51" t="s">
        <v>57</v>
      </c>
      <c r="B51" s="2">
        <f aca="true" t="shared" si="7" ref="B51:I51">B50/B49</f>
        <v>15.02527214302634</v>
      </c>
      <c r="C51" s="2">
        <f t="shared" si="7"/>
        <v>2.1926362046398458</v>
      </c>
      <c r="D51" s="2">
        <f t="shared" si="7"/>
        <v>0.8759629263913747</v>
      </c>
      <c r="E51" s="2">
        <f t="shared" si="7"/>
        <v>0.6685816870265416</v>
      </c>
      <c r="F51" s="2">
        <f t="shared" si="7"/>
        <v>0.7171898437070189</v>
      </c>
      <c r="G51" s="2">
        <f t="shared" si="7"/>
        <v>0.8929190818736941</v>
      </c>
      <c r="H51" s="2">
        <f t="shared" si="7"/>
        <v>0.9976775275631812</v>
      </c>
      <c r="I51" s="2">
        <f t="shared" si="7"/>
        <v>3.3634382541494827</v>
      </c>
    </row>
    <row r="53" spans="1:9" ht="12.75">
      <c r="A53" t="s">
        <v>60</v>
      </c>
      <c r="B53" t="s">
        <v>61</v>
      </c>
      <c r="C53" t="s">
        <v>50</v>
      </c>
      <c r="D53" t="s">
        <v>51</v>
      </c>
      <c r="E53" t="s">
        <v>52</v>
      </c>
      <c r="F53" t="s">
        <v>53</v>
      </c>
      <c r="G53" t="s">
        <v>54</v>
      </c>
      <c r="H53" t="s">
        <v>55</v>
      </c>
      <c r="I53" t="s">
        <v>56</v>
      </c>
    </row>
    <row r="54" spans="1:9" ht="12.75">
      <c r="A54" t="s">
        <v>58</v>
      </c>
      <c r="B54" s="6">
        <v>54.17246975259032</v>
      </c>
      <c r="C54" s="6">
        <v>54.14753193694791</v>
      </c>
      <c r="D54" s="6">
        <v>53.466068264854414</v>
      </c>
      <c r="E54" s="6">
        <v>51.67229628582093</v>
      </c>
      <c r="F54" s="6">
        <v>52.04354374751298</v>
      </c>
      <c r="G54" s="6">
        <v>52.96227293795891</v>
      </c>
      <c r="H54" s="6">
        <v>64.00253092992689</v>
      </c>
      <c r="I54" s="6">
        <v>65.95233341335943</v>
      </c>
    </row>
    <row r="55" spans="1:9" ht="12.75">
      <c r="A55" t="s">
        <v>59</v>
      </c>
      <c r="B55" s="6">
        <v>45.82753024740968</v>
      </c>
      <c r="C55" s="6">
        <v>45.85246806305209</v>
      </c>
      <c r="D55" s="6">
        <v>46.533931735145586</v>
      </c>
      <c r="E55" s="6">
        <v>48.32770371417907</v>
      </c>
      <c r="F55" s="6">
        <v>47.95645625248702</v>
      </c>
      <c r="G55" s="6">
        <v>47.03772706204109</v>
      </c>
      <c r="H55" s="6">
        <v>35.9974690700731</v>
      </c>
      <c r="I55" s="6">
        <v>34.04766658664057</v>
      </c>
    </row>
    <row r="57" spans="1:9" ht="12.75">
      <c r="A57" t="s">
        <v>60</v>
      </c>
      <c r="B57" t="s">
        <v>62</v>
      </c>
      <c r="C57" t="s">
        <v>63</v>
      </c>
      <c r="D57" t="s">
        <v>64</v>
      </c>
      <c r="E57" t="s">
        <v>65</v>
      </c>
      <c r="F57" t="s">
        <v>66</v>
      </c>
      <c r="G57" t="s">
        <v>67</v>
      </c>
      <c r="H57" t="s">
        <v>68</v>
      </c>
      <c r="I57" t="s">
        <v>56</v>
      </c>
    </row>
    <row r="58" spans="1:9" ht="12.75">
      <c r="A58" t="s">
        <v>58</v>
      </c>
      <c r="B58" s="6">
        <v>100</v>
      </c>
      <c r="C58" s="6">
        <f>(20*C54*C34-10*D54*D34)/(20*C34-10*D34)</f>
        <v>99.10808821237966</v>
      </c>
      <c r="D58" s="6">
        <f>(10*D54*D34-5*E54*E34)/(10*D34-5*E34)</f>
        <v>76.02505078046035</v>
      </c>
      <c r="E58" s="6">
        <f>(5*E54*E34-1*F54*F34)/(5*E34-1*F34)</f>
        <v>51.089704122137256</v>
      </c>
      <c r="F58" s="6">
        <f>(1*F54*F34-0.5*G54*G34)/(1*F34-0.5*G34)</f>
        <v>49.384238171501636</v>
      </c>
      <c r="G58" s="6">
        <f>(0.5*G54*G34-0.1*H54*H34)/(0.5*G34-0.1*H34)</f>
        <v>41.38013102906304</v>
      </c>
      <c r="H58" s="6">
        <f>(0.1*H54*H34-0.01*I54*I34)/(0.1*H34-0.01*I34)</f>
        <v>63.063347998099516</v>
      </c>
      <c r="I58" s="6">
        <f>(100*I54*I34-80*J54*J34)/(100*I34-80*J34)</f>
        <v>65.95233341335943</v>
      </c>
    </row>
    <row r="59" spans="1:9" ht="12.75">
      <c r="A59" t="s">
        <v>59</v>
      </c>
      <c r="B59" s="6">
        <f>100-B58</f>
        <v>0</v>
      </c>
      <c r="C59" s="6">
        <f aca="true" t="shared" si="8" ref="C59:I59">100-C58</f>
        <v>0.8919117876203444</v>
      </c>
      <c r="D59" s="6">
        <f t="shared" si="8"/>
        <v>23.974949219539653</v>
      </c>
      <c r="E59" s="6">
        <f t="shared" si="8"/>
        <v>48.910295877862744</v>
      </c>
      <c r="F59" s="6">
        <f t="shared" si="8"/>
        <v>50.615761828498364</v>
      </c>
      <c r="G59" s="6">
        <f t="shared" si="8"/>
        <v>58.61986897093696</v>
      </c>
      <c r="H59" s="6">
        <f t="shared" si="8"/>
        <v>36.936652001900484</v>
      </c>
      <c r="I59" s="6">
        <f t="shared" si="8"/>
        <v>34.047666586640574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9"/>
  <sheetViews>
    <sheetView workbookViewId="0" topLeftCell="A1">
      <selection activeCell="A1" sqref="A1"/>
    </sheetView>
  </sheetViews>
  <sheetFormatPr defaultColWidth="11.421875" defaultRowHeight="12.75"/>
  <cols>
    <col min="3" max="12" width="11.57421875" style="0" bestFit="1" customWidth="1"/>
  </cols>
  <sheetData>
    <row r="1" spans="1:2" ht="12.75">
      <c r="A1" t="s">
        <v>280</v>
      </c>
      <c r="B1" s="1" t="s">
        <v>281</v>
      </c>
    </row>
    <row r="5" ht="12.75">
      <c r="A5" s="1" t="s">
        <v>296</v>
      </c>
    </row>
    <row r="6" spans="2:7" ht="12.75">
      <c r="B6" t="s">
        <v>61</v>
      </c>
      <c r="C6" t="s">
        <v>51</v>
      </c>
      <c r="D6" t="s">
        <v>52</v>
      </c>
      <c r="E6" t="s">
        <v>53</v>
      </c>
      <c r="F6" t="s">
        <v>54</v>
      </c>
      <c r="G6" t="s">
        <v>55</v>
      </c>
    </row>
    <row r="7" spans="1:7" ht="12.75">
      <c r="A7" t="s">
        <v>289</v>
      </c>
      <c r="B7" s="22">
        <f>'Res1807-1913'!K55</f>
        <v>2.4595335169809664</v>
      </c>
      <c r="C7" s="22">
        <v>7</v>
      </c>
      <c r="D7" s="22">
        <v>10</v>
      </c>
      <c r="E7" s="22">
        <v>25</v>
      </c>
      <c r="F7" s="22">
        <v>30</v>
      </c>
      <c r="G7" s="22">
        <v>50</v>
      </c>
    </row>
    <row r="8" spans="1:7" ht="12.75">
      <c r="A8" t="s">
        <v>290</v>
      </c>
      <c r="B8" s="22">
        <f>'Res1807-1913'!K56</f>
        <v>2.523494447502793</v>
      </c>
      <c r="C8" s="22">
        <v>7</v>
      </c>
      <c r="D8" s="22">
        <v>10</v>
      </c>
      <c r="E8" s="22">
        <v>25</v>
      </c>
      <c r="F8" s="22">
        <v>30</v>
      </c>
      <c r="G8" s="22">
        <v>50</v>
      </c>
    </row>
    <row r="9" spans="1:7" ht="12.75">
      <c r="A9" t="s">
        <v>291</v>
      </c>
      <c r="B9" s="22">
        <f>'Res1807-1913'!K57</f>
        <v>2.8422241086740208</v>
      </c>
      <c r="C9" s="22">
        <v>7</v>
      </c>
      <c r="D9" s="22">
        <v>10</v>
      </c>
      <c r="E9" s="22">
        <v>25</v>
      </c>
      <c r="F9" s="22">
        <v>30</v>
      </c>
      <c r="G9" s="22">
        <v>50</v>
      </c>
    </row>
    <row r="10" spans="1:7" ht="12.75">
      <c r="A10" t="s">
        <v>292</v>
      </c>
      <c r="B10" s="22">
        <f>'Res1807-1913'!K58</f>
        <v>3.0749869963908525</v>
      </c>
      <c r="C10" s="22">
        <v>7</v>
      </c>
      <c r="D10" s="22">
        <v>10</v>
      </c>
      <c r="E10" s="22">
        <v>25</v>
      </c>
      <c r="F10" s="22">
        <v>30</v>
      </c>
      <c r="G10" s="22">
        <v>50</v>
      </c>
    </row>
    <row r="11" spans="1:7" ht="12.75">
      <c r="A11" t="s">
        <v>293</v>
      </c>
      <c r="B11" s="22">
        <f>'Res1807-1913'!K59</f>
        <v>3.2520917620585914</v>
      </c>
      <c r="C11" s="22">
        <v>7</v>
      </c>
      <c r="D11" s="22">
        <v>10</v>
      </c>
      <c r="E11" s="22">
        <v>25</v>
      </c>
      <c r="F11" s="22">
        <v>30</v>
      </c>
      <c r="G11" s="22">
        <v>50</v>
      </c>
    </row>
    <row r="12" spans="1:7" ht="12.75">
      <c r="A12" t="s">
        <v>294</v>
      </c>
      <c r="B12" s="22">
        <f>'Res1807-1913'!K60</f>
        <v>3.5613539542437516</v>
      </c>
      <c r="C12" s="22">
        <v>7</v>
      </c>
      <c r="D12" s="22">
        <v>10</v>
      </c>
      <c r="E12" s="22">
        <v>25</v>
      </c>
      <c r="F12" s="22">
        <v>30</v>
      </c>
      <c r="G12" s="22">
        <v>50</v>
      </c>
    </row>
    <row r="13" spans="1:7" ht="12.75">
      <c r="A13" t="s">
        <v>295</v>
      </c>
      <c r="B13" s="22">
        <f>'Res1807-1913'!K61</f>
        <v>4.852737122140003</v>
      </c>
      <c r="C13" s="22">
        <v>7</v>
      </c>
      <c r="D13" s="22">
        <v>10</v>
      </c>
      <c r="E13" s="22">
        <v>25</v>
      </c>
      <c r="F13" s="22">
        <v>30</v>
      </c>
      <c r="G13" s="22">
        <v>50</v>
      </c>
    </row>
    <row r="14" spans="1:7" ht="12.75">
      <c r="A14" t="s">
        <v>283</v>
      </c>
      <c r="B14" s="22">
        <f>'Res1807-1913'!K64</f>
        <v>6.496132616423429</v>
      </c>
      <c r="C14" s="22">
        <v>7.491827584358979</v>
      </c>
      <c r="D14" s="22">
        <v>10.164162840963899</v>
      </c>
      <c r="E14" s="22">
        <v>26.616173344527606</v>
      </c>
      <c r="F14" s="22">
        <v>33.47564352190922</v>
      </c>
      <c r="G14" s="22">
        <v>54.12550686840177</v>
      </c>
    </row>
    <row r="15" spans="1:7" ht="12.75">
      <c r="A15" s="13">
        <v>1807</v>
      </c>
      <c r="B15" s="11">
        <v>472522.56</v>
      </c>
      <c r="C15" s="11">
        <f>0.1*$B15*C7/100</f>
        <v>3307.65792</v>
      </c>
      <c r="D15" s="11">
        <f>0.05*$B15*D7/100</f>
        <v>2362.6128</v>
      </c>
      <c r="E15" s="11">
        <f>0.01*$B15*E7/100</f>
        <v>1181.3064</v>
      </c>
      <c r="F15" s="11">
        <f>0.005*$B15*F7/100</f>
        <v>708.7838399999999</v>
      </c>
      <c r="G15" s="11">
        <f>0.001*$B15*G7/100</f>
        <v>236.26128</v>
      </c>
    </row>
    <row r="16" spans="1:7" ht="12.75">
      <c r="A16" s="13">
        <v>1817</v>
      </c>
      <c r="B16" s="11">
        <v>472558.995</v>
      </c>
      <c r="C16" s="11">
        <f aca="true" t="shared" si="0" ref="C16:C21">0.1*$B16*C8/100</f>
        <v>3307.912965</v>
      </c>
      <c r="D16" s="11">
        <f aca="true" t="shared" si="1" ref="D16:D21">0.05*$B16*D8/100</f>
        <v>2362.794975</v>
      </c>
      <c r="E16" s="11">
        <f aca="true" t="shared" si="2" ref="E16:E21">0.01*$B16*E8/100</f>
        <v>1181.3974875000001</v>
      </c>
      <c r="F16" s="11">
        <f aca="true" t="shared" si="3" ref="F16:F21">0.005*$B16*F8/100</f>
        <v>708.8384925000001</v>
      </c>
      <c r="G16" s="11">
        <f aca="true" t="shared" si="4" ref="G16:G21">0.001*$B16*G8/100</f>
        <v>236.2794975</v>
      </c>
    </row>
    <row r="17" spans="1:7" ht="12.75">
      <c r="A17" s="13">
        <v>1827</v>
      </c>
      <c r="B17" s="11">
        <v>497884.7359999999</v>
      </c>
      <c r="C17" s="11">
        <f t="shared" si="0"/>
        <v>3485.1931519999994</v>
      </c>
      <c r="D17" s="11">
        <f t="shared" si="1"/>
        <v>2489.42368</v>
      </c>
      <c r="E17" s="11">
        <f t="shared" si="2"/>
        <v>1244.7118399999997</v>
      </c>
      <c r="F17" s="11">
        <f t="shared" si="3"/>
        <v>746.8271039999998</v>
      </c>
      <c r="G17" s="11">
        <f t="shared" si="4"/>
        <v>248.94236799999996</v>
      </c>
    </row>
    <row r="18" spans="1:7" ht="12.75">
      <c r="A18" s="13">
        <v>1837</v>
      </c>
      <c r="B18" s="11">
        <v>549660.861</v>
      </c>
      <c r="C18" s="11">
        <f t="shared" si="0"/>
        <v>3847.6260270000002</v>
      </c>
      <c r="D18" s="11">
        <f t="shared" si="1"/>
        <v>2748.304305</v>
      </c>
      <c r="E18" s="11">
        <f t="shared" si="2"/>
        <v>1374.1521525</v>
      </c>
      <c r="F18" s="11">
        <f t="shared" si="3"/>
        <v>824.4912915000001</v>
      </c>
      <c r="G18" s="11">
        <f t="shared" si="4"/>
        <v>274.83043050000003</v>
      </c>
    </row>
    <row r="19" spans="1:7" ht="12.75">
      <c r="A19" s="13">
        <v>1847</v>
      </c>
      <c r="B19" s="11">
        <v>558686.5725</v>
      </c>
      <c r="C19" s="11">
        <f t="shared" si="0"/>
        <v>3910.8060075000003</v>
      </c>
      <c r="D19" s="11">
        <f t="shared" si="1"/>
        <v>2793.4328625</v>
      </c>
      <c r="E19" s="11">
        <f t="shared" si="2"/>
        <v>1396.71643125</v>
      </c>
      <c r="F19" s="11">
        <f t="shared" si="3"/>
        <v>838.0298587500001</v>
      </c>
      <c r="G19" s="11">
        <f t="shared" si="4"/>
        <v>279.34328625</v>
      </c>
    </row>
    <row r="20" spans="1:7" ht="12.75">
      <c r="A20" s="13">
        <v>1857</v>
      </c>
      <c r="B20" s="11">
        <v>540468.6039999999</v>
      </c>
      <c r="C20" s="11">
        <f t="shared" si="0"/>
        <v>3783.2802279999996</v>
      </c>
      <c r="D20" s="11">
        <f t="shared" si="1"/>
        <v>2702.34302</v>
      </c>
      <c r="E20" s="11">
        <f t="shared" si="2"/>
        <v>1351.17151</v>
      </c>
      <c r="F20" s="11">
        <f t="shared" si="3"/>
        <v>810.702906</v>
      </c>
      <c r="G20" s="11">
        <f t="shared" si="4"/>
        <v>270.23430199999996</v>
      </c>
    </row>
    <row r="21" spans="1:7" ht="12.75">
      <c r="A21" s="13">
        <v>1867</v>
      </c>
      <c r="B21" s="11">
        <v>580146.818</v>
      </c>
      <c r="C21" s="11">
        <f t="shared" si="0"/>
        <v>4061.027726</v>
      </c>
      <c r="D21" s="11">
        <f t="shared" si="1"/>
        <v>2900.73409</v>
      </c>
      <c r="E21" s="11">
        <f t="shared" si="2"/>
        <v>1450.367045</v>
      </c>
      <c r="F21" s="11">
        <f t="shared" si="3"/>
        <v>870.220227</v>
      </c>
      <c r="G21" s="11">
        <f t="shared" si="4"/>
        <v>290.07340899999997</v>
      </c>
    </row>
    <row r="22" spans="1:7" ht="12.75">
      <c r="A22" s="13">
        <v>1902</v>
      </c>
      <c r="B22" s="11">
        <v>559810</v>
      </c>
      <c r="C22" s="11">
        <f>0.1*$B22*C$14/100</f>
        <v>4194</v>
      </c>
      <c r="D22" s="11">
        <f>0.05*$B22*D$14/100</f>
        <v>2845</v>
      </c>
      <c r="E22" s="11">
        <f>0.01*$B22*E$14/100</f>
        <v>1490</v>
      </c>
      <c r="F22" s="11">
        <f>0.005*$B22*F$14/100</f>
        <v>937.0000000000001</v>
      </c>
      <c r="G22" s="11">
        <f>0.001*$B22*G$14/100</f>
        <v>303</v>
      </c>
    </row>
    <row r="24" ht="12.75">
      <c r="A24" t="s">
        <v>285</v>
      </c>
    </row>
    <row r="26" spans="2:17" ht="12.75">
      <c r="B26" t="s">
        <v>61</v>
      </c>
      <c r="C26" t="s">
        <v>51</v>
      </c>
      <c r="D26" t="s">
        <v>52</v>
      </c>
      <c r="E26" t="s">
        <v>53</v>
      </c>
      <c r="F26" t="s">
        <v>54</v>
      </c>
      <c r="G26" t="s">
        <v>55</v>
      </c>
      <c r="H26" t="s">
        <v>11</v>
      </c>
      <c r="I26" t="s">
        <v>12</v>
      </c>
      <c r="J26" t="s">
        <v>13</v>
      </c>
      <c r="K26" t="s">
        <v>14</v>
      </c>
      <c r="L26" t="s">
        <v>15</v>
      </c>
      <c r="M26" t="s">
        <v>64</v>
      </c>
      <c r="N26" t="s">
        <v>65</v>
      </c>
      <c r="O26" t="s">
        <v>66</v>
      </c>
      <c r="P26" t="s">
        <v>67</v>
      </c>
      <c r="Q26" t="s">
        <v>55</v>
      </c>
    </row>
    <row r="27" spans="1:22" ht="12.75">
      <c r="A27" s="13">
        <v>1807</v>
      </c>
      <c r="B27" s="11">
        <f>'Res1807-1913'!H10</f>
        <v>1664.0191371721094</v>
      </c>
      <c r="C27" s="11">
        <f>(1*M27/1.1+1*D27)/2</f>
        <v>3924.0363636363636</v>
      </c>
      <c r="D27" s="11">
        <f>(4*N27/1.1+1*E27)/5</f>
        <v>7656.254545454545</v>
      </c>
      <c r="E27" s="11">
        <f>(1*O27/1.1+1*F27)/2</f>
        <v>31190.36363636364</v>
      </c>
      <c r="F27" s="11">
        <f>(4*P27/1.1+1*G27)/5</f>
        <v>53841.63636363637</v>
      </c>
      <c r="G27" s="11">
        <f>Q27/1.2</f>
        <v>154110</v>
      </c>
      <c r="H27" s="11">
        <v>80</v>
      </c>
      <c r="I27" s="11">
        <v>452</v>
      </c>
      <c r="J27" s="11">
        <v>5367</v>
      </c>
      <c r="K27" s="11">
        <v>15413</v>
      </c>
      <c r="L27" s="11">
        <v>65581</v>
      </c>
      <c r="M27" s="11">
        <v>211</v>
      </c>
      <c r="N27" s="11">
        <v>1950</v>
      </c>
      <c r="O27" s="11">
        <v>9393</v>
      </c>
      <c r="P27" s="11">
        <v>31652</v>
      </c>
      <c r="Q27" s="11">
        <v>184932</v>
      </c>
      <c r="R27" s="61">
        <f>(I27-M27)/(I27-H27)</f>
        <v>0.6478494623655914</v>
      </c>
      <c r="S27" s="61">
        <f>(J27-N27)/(J27-I27)</f>
        <v>0.6952187182095626</v>
      </c>
      <c r="T27" s="61">
        <f>(K27-O27)/(K27-J27)</f>
        <v>0.5992434799920366</v>
      </c>
      <c r="U27" s="61">
        <f>(L27-P27)/(L27-K27)</f>
        <v>0.6763076064423537</v>
      </c>
      <c r="V27" s="61">
        <f>Q27/L27</f>
        <v>2.819902105792836</v>
      </c>
    </row>
    <row r="28" spans="1:22" ht="12.75">
      <c r="A28" s="13">
        <v>1817</v>
      </c>
      <c r="B28" s="11">
        <f>'Res1807-1913'!H11</f>
        <v>1540.7495436657875</v>
      </c>
      <c r="C28" s="11">
        <f aca="true" t="shared" si="5" ref="C28:C33">(1*M28/1.1+1*D28)/2</f>
        <v>3308.2204545454547</v>
      </c>
      <c r="D28" s="11">
        <f aca="true" t="shared" si="6" ref="D28:D33">(4*N28/1.1+1*E28)/5</f>
        <v>6557.35</v>
      </c>
      <c r="E28" s="11">
        <f aca="true" t="shared" si="7" ref="E28:E33">(1*O28/1.1+1*F28)/2</f>
        <v>28844.931818181816</v>
      </c>
      <c r="F28" s="11">
        <f aca="true" t="shared" si="8" ref="F28:F33">(4*P28/1.1+1*G28)/5</f>
        <v>51175.31818181818</v>
      </c>
      <c r="G28" s="11">
        <f aca="true" t="shared" si="9" ref="G28:G33">Q28/1.2</f>
        <v>158087.5</v>
      </c>
      <c r="H28" s="11">
        <v>0</v>
      </c>
      <c r="I28" s="11">
        <v>184</v>
      </c>
      <c r="J28" s="11">
        <v>3301</v>
      </c>
      <c r="K28" s="11">
        <v>12579</v>
      </c>
      <c r="L28" s="11">
        <v>59140</v>
      </c>
      <c r="M28" s="11">
        <v>65</v>
      </c>
      <c r="N28" s="11">
        <v>1084</v>
      </c>
      <c r="O28" s="11">
        <v>7166</v>
      </c>
      <c r="P28" s="11">
        <v>26892</v>
      </c>
      <c r="Q28" s="11">
        <v>189705</v>
      </c>
      <c r="R28" s="61">
        <f aca="true" t="shared" si="10" ref="R28:R37">(I28-M28)/(I28-H28)</f>
        <v>0.6467391304347826</v>
      </c>
      <c r="S28" s="61">
        <f aca="true" t="shared" si="11" ref="S28:S37">(J28-N28)/(J28-I28)</f>
        <v>0.7112608277189605</v>
      </c>
      <c r="T28" s="61">
        <f aca="true" t="shared" si="12" ref="T28:T37">(K28-O28)/(K28-J28)</f>
        <v>0.5834231515412804</v>
      </c>
      <c r="U28" s="61">
        <f aca="true" t="shared" si="13" ref="U28:U37">(L28-P28)/(L28-K28)</f>
        <v>0.6925968084877903</v>
      </c>
      <c r="V28" s="61">
        <f aca="true" t="shared" si="14" ref="V28:V37">Q28/L28</f>
        <v>3.207727426445722</v>
      </c>
    </row>
    <row r="29" spans="1:22" ht="12.75">
      <c r="A29" s="13">
        <v>1827</v>
      </c>
      <c r="B29" s="11">
        <f>'Res1807-1913'!H12</f>
        <v>2731.5559238192836</v>
      </c>
      <c r="C29" s="11">
        <f t="shared" si="5"/>
        <v>7296.563636363636</v>
      </c>
      <c r="D29" s="11">
        <f t="shared" si="6"/>
        <v>14346.763636363636</v>
      </c>
      <c r="E29" s="11">
        <f t="shared" si="7"/>
        <v>59235.63636363636</v>
      </c>
      <c r="F29" s="11">
        <f t="shared" si="8"/>
        <v>102869.45454545454</v>
      </c>
      <c r="G29" s="11">
        <f t="shared" si="9"/>
        <v>285900</v>
      </c>
      <c r="H29" s="11">
        <v>84</v>
      </c>
      <c r="I29" s="11">
        <v>671</v>
      </c>
      <c r="J29" s="11">
        <v>10000</v>
      </c>
      <c r="K29" s="11">
        <v>28179</v>
      </c>
      <c r="L29" s="11">
        <v>130185</v>
      </c>
      <c r="M29" s="11">
        <v>271</v>
      </c>
      <c r="N29" s="11">
        <v>3437</v>
      </c>
      <c r="O29" s="11">
        <v>17162</v>
      </c>
      <c r="P29" s="11">
        <v>62823</v>
      </c>
      <c r="Q29" s="11">
        <v>343080</v>
      </c>
      <c r="R29" s="61">
        <f t="shared" si="10"/>
        <v>0.6814310051107325</v>
      </c>
      <c r="S29" s="61">
        <f t="shared" si="11"/>
        <v>0.7035051988423197</v>
      </c>
      <c r="T29" s="61">
        <f t="shared" si="12"/>
        <v>0.6060289344848452</v>
      </c>
      <c r="U29" s="61">
        <f t="shared" si="13"/>
        <v>0.6603729192400447</v>
      </c>
      <c r="V29" s="61">
        <f t="shared" si="14"/>
        <v>2.635326650535776</v>
      </c>
    </row>
    <row r="30" spans="1:22" ht="12.75">
      <c r="A30" s="13">
        <v>1837</v>
      </c>
      <c r="B30" s="11">
        <f>'Res1807-1913'!H13</f>
        <v>3049.1528848367466</v>
      </c>
      <c r="C30" s="11">
        <f t="shared" si="5"/>
        <v>8786.771969696969</v>
      </c>
      <c r="D30" s="11">
        <f t="shared" si="6"/>
        <v>17158.089393939394</v>
      </c>
      <c r="E30" s="11">
        <f t="shared" si="7"/>
        <v>69921.35606060606</v>
      </c>
      <c r="F30" s="11">
        <f t="shared" si="8"/>
        <v>119328.16666666667</v>
      </c>
      <c r="G30" s="11">
        <f t="shared" si="9"/>
        <v>309720.8333333334</v>
      </c>
      <c r="H30" s="11">
        <v>183</v>
      </c>
      <c r="I30" s="11">
        <v>981</v>
      </c>
      <c r="J30" s="11">
        <v>12500</v>
      </c>
      <c r="K30" s="11">
        <v>37344</v>
      </c>
      <c r="L30" s="11">
        <v>150835</v>
      </c>
      <c r="M30" s="11">
        <v>457</v>
      </c>
      <c r="N30" s="11">
        <v>4364</v>
      </c>
      <c r="O30" s="11">
        <v>22566</v>
      </c>
      <c r="P30" s="11">
        <v>78903</v>
      </c>
      <c r="Q30" s="11">
        <v>371665</v>
      </c>
      <c r="R30" s="61">
        <f t="shared" si="10"/>
        <v>0.656641604010025</v>
      </c>
      <c r="S30" s="61">
        <f t="shared" si="11"/>
        <v>0.7063113117458113</v>
      </c>
      <c r="T30" s="61">
        <f t="shared" si="12"/>
        <v>0.5948317501207535</v>
      </c>
      <c r="U30" s="61">
        <f t="shared" si="13"/>
        <v>0.6338123727872694</v>
      </c>
      <c r="V30" s="61">
        <f t="shared" si="14"/>
        <v>2.464050120993138</v>
      </c>
    </row>
    <row r="31" spans="1:22" ht="12.75">
      <c r="A31" s="13">
        <v>1847</v>
      </c>
      <c r="B31" s="11">
        <f>'Res1807-1913'!H14</f>
        <v>3678.2698943422342</v>
      </c>
      <c r="C31" s="11">
        <f t="shared" si="5"/>
        <v>11998.01590909091</v>
      </c>
      <c r="D31" s="11">
        <f t="shared" si="6"/>
        <v>23468.75909090909</v>
      </c>
      <c r="E31" s="11">
        <f t="shared" si="7"/>
        <v>96241.97727272728</v>
      </c>
      <c r="F31" s="11">
        <f t="shared" si="8"/>
        <v>166287.5909090909</v>
      </c>
      <c r="G31" s="11">
        <f t="shared" si="9"/>
        <v>463372.5</v>
      </c>
      <c r="H31" s="11">
        <v>185</v>
      </c>
      <c r="I31" s="11">
        <v>1290</v>
      </c>
      <c r="J31" s="11">
        <v>16555</v>
      </c>
      <c r="K31" s="11">
        <v>46353</v>
      </c>
      <c r="L31" s="11">
        <v>190280</v>
      </c>
      <c r="M31" s="11">
        <v>580</v>
      </c>
      <c r="N31" s="11">
        <v>5803</v>
      </c>
      <c r="O31" s="11">
        <v>28816</v>
      </c>
      <c r="P31" s="11">
        <v>101218</v>
      </c>
      <c r="Q31" s="11">
        <v>556047</v>
      </c>
      <c r="R31" s="61">
        <f t="shared" si="10"/>
        <v>0.6425339366515838</v>
      </c>
      <c r="S31" s="61">
        <f t="shared" si="11"/>
        <v>0.7043563707828365</v>
      </c>
      <c r="T31" s="61">
        <f t="shared" si="12"/>
        <v>0.5885294315054702</v>
      </c>
      <c r="U31" s="61">
        <f t="shared" si="13"/>
        <v>0.6187998082361197</v>
      </c>
      <c r="V31" s="61">
        <f t="shared" si="14"/>
        <v>2.922256674374606</v>
      </c>
    </row>
    <row r="32" spans="1:22" ht="12.75">
      <c r="A32" s="13">
        <v>1857</v>
      </c>
      <c r="B32" s="11">
        <f>'Res1807-1913'!H15</f>
        <v>4146.401813934043</v>
      </c>
      <c r="C32" s="11">
        <f t="shared" si="5"/>
        <v>19702.881060606058</v>
      </c>
      <c r="D32" s="11">
        <f t="shared" si="6"/>
        <v>37080.30757575757</v>
      </c>
      <c r="E32" s="11">
        <f t="shared" si="7"/>
        <v>136365.17424242423</v>
      </c>
      <c r="F32" s="11">
        <f t="shared" si="8"/>
        <v>227280.34848484848</v>
      </c>
      <c r="G32" s="11">
        <f t="shared" si="9"/>
        <v>585390.8333333334</v>
      </c>
      <c r="H32" s="11">
        <v>1239</v>
      </c>
      <c r="I32" s="11">
        <v>4540</v>
      </c>
      <c r="J32" s="11">
        <v>31718</v>
      </c>
      <c r="K32" s="11">
        <v>78886</v>
      </c>
      <c r="L32" s="11">
        <v>288000</v>
      </c>
      <c r="M32" s="11">
        <v>2558</v>
      </c>
      <c r="N32" s="11">
        <v>13485</v>
      </c>
      <c r="O32" s="11">
        <v>49995</v>
      </c>
      <c r="P32" s="11">
        <v>151528</v>
      </c>
      <c r="Q32" s="11">
        <v>702469</v>
      </c>
      <c r="R32" s="61">
        <f t="shared" si="10"/>
        <v>0.6004241139048773</v>
      </c>
      <c r="S32" s="61">
        <f t="shared" si="11"/>
        <v>0.6708735006255059</v>
      </c>
      <c r="T32" s="61">
        <f t="shared" si="12"/>
        <v>0.6125127204884667</v>
      </c>
      <c r="U32" s="61">
        <f t="shared" si="13"/>
        <v>0.6526201019539581</v>
      </c>
      <c r="V32" s="61">
        <f t="shared" si="14"/>
        <v>2.4391284722222224</v>
      </c>
    </row>
    <row r="33" spans="1:22" ht="12.75">
      <c r="A33" s="13">
        <v>1867</v>
      </c>
      <c r="B33" s="11">
        <f>'Res1807-1913'!H16</f>
        <v>5726.136724238657</v>
      </c>
      <c r="C33" s="11">
        <f t="shared" si="5"/>
        <v>39347.39924242424</v>
      </c>
      <c r="D33" s="11">
        <f t="shared" si="6"/>
        <v>69900.25303030302</v>
      </c>
      <c r="E33" s="11">
        <f t="shared" si="7"/>
        <v>227413.99242424237</v>
      </c>
      <c r="F33" s="11">
        <f t="shared" si="8"/>
        <v>363433.43939393933</v>
      </c>
      <c r="G33" s="11">
        <f t="shared" si="9"/>
        <v>888410.8333333334</v>
      </c>
      <c r="H33" s="11">
        <v>5508</v>
      </c>
      <c r="I33" s="11">
        <v>15587</v>
      </c>
      <c r="J33" s="11">
        <v>65734</v>
      </c>
      <c r="K33" s="11">
        <v>150204</v>
      </c>
      <c r="L33" s="11">
        <v>451000</v>
      </c>
      <c r="M33" s="11">
        <v>9674</v>
      </c>
      <c r="N33" s="11">
        <v>33574</v>
      </c>
      <c r="O33" s="11">
        <v>100534</v>
      </c>
      <c r="P33" s="11">
        <v>255408</v>
      </c>
      <c r="Q33" s="11">
        <v>1066093</v>
      </c>
      <c r="R33" s="61">
        <f t="shared" si="10"/>
        <v>0.5866653437841056</v>
      </c>
      <c r="S33" s="61">
        <f t="shared" si="11"/>
        <v>0.641314535266317</v>
      </c>
      <c r="T33" s="61">
        <f t="shared" si="12"/>
        <v>0.5880194151769859</v>
      </c>
      <c r="U33" s="61">
        <f t="shared" si="13"/>
        <v>0.6502480086171358</v>
      </c>
      <c r="V33" s="61">
        <f t="shared" si="14"/>
        <v>2.3638425720620844</v>
      </c>
    </row>
    <row r="34" spans="1:22" ht="12.75">
      <c r="A34" s="13" t="s">
        <v>123</v>
      </c>
      <c r="B34" s="11">
        <f>'Res1807-1913'!H20</f>
        <v>8524.545828048802</v>
      </c>
      <c r="C34" s="11">
        <v>294534</v>
      </c>
      <c r="D34" s="11">
        <v>426106</v>
      </c>
      <c r="E34" s="11">
        <v>759092</v>
      </c>
      <c r="F34" s="11">
        <v>1108350</v>
      </c>
      <c r="G34" s="11">
        <v>2504525</v>
      </c>
      <c r="H34" s="11">
        <v>9536</v>
      </c>
      <c r="I34" s="11">
        <v>28872</v>
      </c>
      <c r="J34" s="11">
        <v>115699</v>
      </c>
      <c r="K34" s="11">
        <v>237575</v>
      </c>
      <c r="L34" s="11">
        <v>833667</v>
      </c>
      <c r="M34" s="11">
        <v>17142</v>
      </c>
      <c r="N34" s="11">
        <v>60147</v>
      </c>
      <c r="O34" s="11">
        <v>167819</v>
      </c>
      <c r="P34" s="11">
        <v>442679</v>
      </c>
      <c r="Q34" s="11">
        <v>2504525</v>
      </c>
      <c r="R34" s="61">
        <f t="shared" si="10"/>
        <v>0.6066404633843607</v>
      </c>
      <c r="S34" s="61">
        <f t="shared" si="11"/>
        <v>0.6398009835650201</v>
      </c>
      <c r="T34" s="61">
        <f t="shared" si="12"/>
        <v>0.5723522268535233</v>
      </c>
      <c r="U34" s="61">
        <f t="shared" si="13"/>
        <v>0.6559188850043282</v>
      </c>
      <c r="V34" s="61">
        <f t="shared" si="14"/>
        <v>3.0042271074661704</v>
      </c>
    </row>
    <row r="35" spans="1:22" ht="12.75">
      <c r="A35" t="s">
        <v>284</v>
      </c>
      <c r="B35" s="11">
        <f>B34</f>
        <v>8524.545828048802</v>
      </c>
      <c r="C35" s="11">
        <v>71556.10660455885</v>
      </c>
      <c r="D35" s="11">
        <v>128675.02235791567</v>
      </c>
      <c r="E35" s="11">
        <v>440221.41150654573</v>
      </c>
      <c r="F35" s="11">
        <v>710626.4109853982</v>
      </c>
      <c r="G35" s="11">
        <v>1970616.312880666</v>
      </c>
      <c r="H35" s="11">
        <v>9533.182931326139</v>
      </c>
      <c r="I35" s="11">
        <v>28853.23417746722</v>
      </c>
      <c r="J35" s="11">
        <v>115608.891952939</v>
      </c>
      <c r="K35" s="11">
        <v>235831.66302222369</v>
      </c>
      <c r="L35" s="11">
        <v>833103.3410131572</v>
      </c>
      <c r="M35" s="11">
        <f>(10*C35-5*D35)/5</f>
        <v>14437.190851202049</v>
      </c>
      <c r="N35" s="11">
        <f>(5*D35-1*E35)/4</f>
        <v>50788.42507075815</v>
      </c>
      <c r="O35" s="11">
        <f>(10*E35-5*F35)/5</f>
        <v>169816.41202769327</v>
      </c>
      <c r="P35" s="11">
        <f>(5*F35-1*G35)/4</f>
        <v>395628.93551158125</v>
      </c>
      <c r="Q35" s="11">
        <f>G35</f>
        <v>1970616.312880666</v>
      </c>
      <c r="R35" s="61">
        <f t="shared" si="10"/>
        <v>0.746170035607156</v>
      </c>
      <c r="S35" s="61">
        <f t="shared" si="11"/>
        <v>0.7471612635332631</v>
      </c>
      <c r="T35" s="61">
        <f t="shared" si="12"/>
        <v>0.549107714016055</v>
      </c>
      <c r="U35" s="61">
        <f t="shared" si="13"/>
        <v>0.7324546293122856</v>
      </c>
      <c r="V35" s="61">
        <f t="shared" si="14"/>
        <v>2.365392401960784</v>
      </c>
    </row>
    <row r="36" spans="1:22" ht="12.75">
      <c r="A36" t="s">
        <v>130</v>
      </c>
      <c r="B36" s="61">
        <f>B34/B35</f>
        <v>1</v>
      </c>
      <c r="C36" s="61">
        <f aca="true" t="shared" si="15" ref="C36:L36">C34/C35</f>
        <v>4.116126686820538</v>
      </c>
      <c r="D36" s="61">
        <f t="shared" si="15"/>
        <v>3.3114896130716494</v>
      </c>
      <c r="E36" s="61">
        <f t="shared" si="15"/>
        <v>1.724341388580353</v>
      </c>
      <c r="F36" s="61">
        <f t="shared" si="15"/>
        <v>1.5596802804769019</v>
      </c>
      <c r="G36" s="61">
        <f t="shared" si="15"/>
        <v>1.2709348763782744</v>
      </c>
      <c r="H36" s="61">
        <f t="shared" si="15"/>
        <v>1.0002955013759995</v>
      </c>
      <c r="I36" s="61">
        <f t="shared" si="15"/>
        <v>1.000650388875554</v>
      </c>
      <c r="J36" s="61">
        <f t="shared" si="15"/>
        <v>1.000779421422858</v>
      </c>
      <c r="K36" s="61">
        <f t="shared" si="15"/>
        <v>1.0073922939584752</v>
      </c>
      <c r="L36" s="61">
        <f t="shared" si="15"/>
        <v>1.00067657751337</v>
      </c>
      <c r="M36" s="61">
        <f>M34/M35</f>
        <v>1.1873500999380877</v>
      </c>
      <c r="N36" s="61">
        <f>N34/N35</f>
        <v>1.1842659014569468</v>
      </c>
      <c r="O36" s="61">
        <f>O34/O35</f>
        <v>0.9882378151567145</v>
      </c>
      <c r="P36" s="61">
        <f>P34/P35</f>
        <v>1.118924730385504</v>
      </c>
      <c r="Q36" s="61">
        <f>Q34/Q35</f>
        <v>1.2709348763782744</v>
      </c>
      <c r="R36" s="61"/>
      <c r="S36" s="61"/>
      <c r="T36" s="61"/>
      <c r="U36" s="61"/>
      <c r="V36" s="61"/>
    </row>
    <row r="37" spans="1:22" ht="12.75">
      <c r="A37" s="27" t="s">
        <v>286</v>
      </c>
      <c r="B37" s="11">
        <f>B34</f>
        <v>8524.545828048802</v>
      </c>
      <c r="C37" s="11">
        <f>(1*M37/1.1+1*D37)/2</f>
        <v>74260.05075757575</v>
      </c>
      <c r="D37" s="11">
        <f>(4*N37/1.1+1*E37)/5</f>
        <v>132936.46515151515</v>
      </c>
      <c r="E37" s="11">
        <f>(1*O37/1.1+1*F37)/2</f>
        <v>445965.96212121216</v>
      </c>
      <c r="F37" s="11">
        <f>(4*P37/1.1+1*G37)/5</f>
        <v>739369.196969697</v>
      </c>
      <c r="G37" s="11">
        <f>Q37/1.2</f>
        <v>2087104.1666666667</v>
      </c>
      <c r="H37" s="11">
        <v>9536</v>
      </c>
      <c r="I37" s="11">
        <v>28872</v>
      </c>
      <c r="J37" s="11">
        <v>115699</v>
      </c>
      <c r="K37" s="11">
        <v>237575</v>
      </c>
      <c r="L37" s="11">
        <v>833667</v>
      </c>
      <c r="M37" s="11">
        <v>17142</v>
      </c>
      <c r="N37" s="11">
        <v>60147</v>
      </c>
      <c r="O37" s="11">
        <v>167819</v>
      </c>
      <c r="P37" s="11">
        <v>442679</v>
      </c>
      <c r="Q37" s="11">
        <v>2504525</v>
      </c>
      <c r="R37" s="61">
        <f t="shared" si="10"/>
        <v>0.6066404633843607</v>
      </c>
      <c r="S37" s="61">
        <f t="shared" si="11"/>
        <v>0.6398009835650201</v>
      </c>
      <c r="T37" s="61">
        <f t="shared" si="12"/>
        <v>0.5723522268535233</v>
      </c>
      <c r="U37" s="61">
        <f t="shared" si="13"/>
        <v>0.6559188850043282</v>
      </c>
      <c r="V37" s="61">
        <f t="shared" si="14"/>
        <v>3.0042271074661704</v>
      </c>
    </row>
    <row r="38" spans="1:12" ht="12.75">
      <c r="A38" s="13" t="s">
        <v>130</v>
      </c>
      <c r="B38" s="61">
        <f>B37/B35</f>
        <v>1</v>
      </c>
      <c r="C38" s="61">
        <f aca="true" t="shared" si="16" ref="C38:L38">C37/C35</f>
        <v>1.0377877484022395</v>
      </c>
      <c r="D38" s="61">
        <f t="shared" si="16"/>
        <v>1.0331178710173141</v>
      </c>
      <c r="E38" s="61">
        <f t="shared" si="16"/>
        <v>1.013049230374795</v>
      </c>
      <c r="F38" s="61">
        <f t="shared" si="16"/>
        <v>1.0404471119282526</v>
      </c>
      <c r="G38" s="61">
        <f t="shared" si="16"/>
        <v>1.0591123969818954</v>
      </c>
      <c r="H38" s="61">
        <f t="shared" si="16"/>
        <v>1.0002955013759995</v>
      </c>
      <c r="I38" s="61">
        <f t="shared" si="16"/>
        <v>1.000650388875554</v>
      </c>
      <c r="J38" s="61">
        <f t="shared" si="16"/>
        <v>1.000779421422858</v>
      </c>
      <c r="K38" s="61">
        <f t="shared" si="16"/>
        <v>1.0073922939584752</v>
      </c>
      <c r="L38" s="61">
        <f t="shared" si="16"/>
        <v>1.00067657751337</v>
      </c>
    </row>
    <row r="39" spans="1:12" ht="12.75">
      <c r="A39" s="27" t="s">
        <v>297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ht="12.75">
      <c r="A40" s="27" t="s">
        <v>298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ht="12.75">
      <c r="A41" s="27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ht="12.75">
      <c r="A42" s="27" t="s">
        <v>299</v>
      </c>
    </row>
    <row r="43" spans="1:7" ht="12.75">
      <c r="A43" t="s">
        <v>288</v>
      </c>
      <c r="B43" t="s">
        <v>61</v>
      </c>
      <c r="C43" t="s">
        <v>51</v>
      </c>
      <c r="D43" t="s">
        <v>52</v>
      </c>
      <c r="E43" t="s">
        <v>53</v>
      </c>
      <c r="F43" t="s">
        <v>54</v>
      </c>
      <c r="G43" t="s">
        <v>55</v>
      </c>
    </row>
    <row r="44" spans="1:7" ht="12.75">
      <c r="A44" s="13">
        <v>1807</v>
      </c>
      <c r="B44" s="22">
        <v>100</v>
      </c>
      <c r="C44" s="22">
        <f>10*C27/$B27</f>
        <v>23.581678094790448</v>
      </c>
      <c r="D44" s="22">
        <f>5*D27/$B27</f>
        <v>23.005307975201067</v>
      </c>
      <c r="E44" s="22">
        <f>1*E27/$B27</f>
        <v>18.743993346957296</v>
      </c>
      <c r="F44" s="22">
        <f>0.5*F27/$B27</f>
        <v>16.178190250605134</v>
      </c>
      <c r="G44" s="22">
        <f>0.1*G27/$B27</f>
        <v>9.261311757621957</v>
      </c>
    </row>
    <row r="45" spans="1:7" ht="12.75">
      <c r="A45" s="13">
        <v>1817</v>
      </c>
      <c r="B45" s="22">
        <v>100</v>
      </c>
      <c r="C45" s="22">
        <f aca="true" t="shared" si="17" ref="C45:C50">10*C28/$B28</f>
        <v>21.47150046641882</v>
      </c>
      <c r="D45" s="22">
        <f aca="true" t="shared" si="18" ref="D45:D50">5*D28/$B28</f>
        <v>21.279740198392656</v>
      </c>
      <c r="E45" s="22">
        <f aca="true" t="shared" si="19" ref="E45:E50">1*E28/$B28</f>
        <v>18.72136320712663</v>
      </c>
      <c r="F45" s="22">
        <f aca="true" t="shared" si="20" ref="F45:F50">0.5*F28/$B28</f>
        <v>16.60728000608738</v>
      </c>
      <c r="G45" s="22">
        <f aca="true" t="shared" si="21" ref="G45:G50">0.1*G28/$B28</f>
        <v>10.260428156537012</v>
      </c>
    </row>
    <row r="46" spans="1:7" ht="12.75">
      <c r="A46" s="13">
        <v>1827</v>
      </c>
      <c r="B46" s="22">
        <v>100</v>
      </c>
      <c r="C46" s="22">
        <f t="shared" si="17"/>
        <v>26.712115145574323</v>
      </c>
      <c r="D46" s="22">
        <f t="shared" si="18"/>
        <v>26.261156711563633</v>
      </c>
      <c r="E46" s="22">
        <f t="shared" si="19"/>
        <v>21.68567586228021</v>
      </c>
      <c r="F46" s="22">
        <f t="shared" si="20"/>
        <v>18.829827653980747</v>
      </c>
      <c r="G46" s="22">
        <f t="shared" si="21"/>
        <v>10.46656220752941</v>
      </c>
    </row>
    <row r="47" spans="1:7" ht="12.75">
      <c r="A47" s="13">
        <v>1837</v>
      </c>
      <c r="B47" s="22">
        <v>100</v>
      </c>
      <c r="C47" s="22">
        <f t="shared" si="17"/>
        <v>28.817092161541183</v>
      </c>
      <c r="D47" s="22">
        <f t="shared" si="18"/>
        <v>28.13582992060768</v>
      </c>
      <c r="E47" s="22">
        <f t="shared" si="19"/>
        <v>22.931403803436933</v>
      </c>
      <c r="F47" s="22">
        <f t="shared" si="20"/>
        <v>19.56742924568959</v>
      </c>
      <c r="G47" s="22">
        <f t="shared" si="21"/>
        <v>10.157602620503432</v>
      </c>
    </row>
    <row r="48" spans="1:7" ht="12.75">
      <c r="A48" s="13">
        <v>1847</v>
      </c>
      <c r="B48" s="22">
        <v>100</v>
      </c>
      <c r="C48" s="22">
        <f t="shared" si="17"/>
        <v>32.618639343311294</v>
      </c>
      <c r="D48" s="22">
        <f t="shared" si="18"/>
        <v>31.9018992149105</v>
      </c>
      <c r="E48" s="22">
        <f t="shared" si="19"/>
        <v>26.165012366483165</v>
      </c>
      <c r="F48" s="22">
        <f t="shared" si="20"/>
        <v>22.604049687173276</v>
      </c>
      <c r="G48" s="22">
        <f t="shared" si="21"/>
        <v>12.597566609039234</v>
      </c>
    </row>
    <row r="49" spans="1:7" ht="12.75">
      <c r="A49" s="13">
        <v>1857</v>
      </c>
      <c r="B49" s="22">
        <v>100</v>
      </c>
      <c r="C49" s="22">
        <f t="shared" si="17"/>
        <v>47.518021515411846</v>
      </c>
      <c r="D49" s="22">
        <f t="shared" si="18"/>
        <v>44.713837731727615</v>
      </c>
      <c r="E49" s="22">
        <f t="shared" si="19"/>
        <v>32.8875927519053</v>
      </c>
      <c r="F49" s="22">
        <f t="shared" si="20"/>
        <v>27.406937229415345</v>
      </c>
      <c r="G49" s="22">
        <f t="shared" si="21"/>
        <v>14.118044019904657</v>
      </c>
    </row>
    <row r="50" spans="1:7" ht="12.75">
      <c r="A50" s="13">
        <v>1867</v>
      </c>
      <c r="B50" s="22">
        <v>100</v>
      </c>
      <c r="C50" s="22">
        <f t="shared" si="17"/>
        <v>68.71543789003019</v>
      </c>
      <c r="D50" s="22">
        <f t="shared" si="18"/>
        <v>61.03613692493251</v>
      </c>
      <c r="E50" s="22">
        <f t="shared" si="19"/>
        <v>39.71508250258889</v>
      </c>
      <c r="F50" s="22">
        <f t="shared" si="20"/>
        <v>31.734610689221814</v>
      </c>
      <c r="G50" s="22">
        <f t="shared" si="21"/>
        <v>15.515012583836896</v>
      </c>
    </row>
    <row r="51" spans="1:7" ht="12.75">
      <c r="A51" s="13">
        <v>1902</v>
      </c>
      <c r="B51" s="22">
        <v>100</v>
      </c>
      <c r="C51" s="22">
        <f>10*C35/$B35</f>
        <v>83.94125393650145</v>
      </c>
      <c r="D51" s="22">
        <f>5*D35/$B35</f>
        <v>75.47324218407559</v>
      </c>
      <c r="E51" s="22">
        <f>1*E35/$B35</f>
        <v>51.641626473290806</v>
      </c>
      <c r="F51" s="22">
        <f>0.5*F35/$B35</f>
        <v>41.68118896417821</v>
      </c>
      <c r="G51" s="22">
        <f>0.1*G35/$B35</f>
        <v>23.116965438752576</v>
      </c>
    </row>
    <row r="52" ht="12.75">
      <c r="A52" s="1" t="s">
        <v>300</v>
      </c>
    </row>
    <row r="53" ht="12.75">
      <c r="A53" s="1" t="s">
        <v>301</v>
      </c>
    </row>
    <row r="54" spans="1:7" ht="12.75">
      <c r="A54" s="1" t="s">
        <v>302</v>
      </c>
      <c r="B54" s="22"/>
      <c r="C54" s="22"/>
      <c r="D54" s="22"/>
      <c r="E54" s="22"/>
      <c r="F54" s="22"/>
      <c r="G54" s="22"/>
    </row>
    <row r="56" ht="12.75">
      <c r="A56" s="1" t="s">
        <v>304</v>
      </c>
    </row>
    <row r="57" spans="2:7" ht="12.75">
      <c r="B57" t="s">
        <v>61</v>
      </c>
      <c r="C57" t="s">
        <v>51</v>
      </c>
      <c r="D57" t="s">
        <v>52</v>
      </c>
      <c r="E57" t="s">
        <v>53</v>
      </c>
      <c r="F57" t="s">
        <v>54</v>
      </c>
      <c r="G57" t="s">
        <v>55</v>
      </c>
    </row>
    <row r="58" spans="1:7" ht="12.75">
      <c r="A58" t="s">
        <v>289</v>
      </c>
      <c r="B58" s="22">
        <f>'Res1807-1913'!K55</f>
        <v>2.4595335169809664</v>
      </c>
      <c r="C58" s="22">
        <f>C$67*$B58/$B$67</f>
        <v>2.836518608100471</v>
      </c>
      <c r="D58" s="22">
        <f aca="true" t="shared" si="22" ref="D58:G66">D$67*$B58/$B$67</f>
        <v>3.8483049308754604</v>
      </c>
      <c r="E58" s="22">
        <f t="shared" si="22"/>
        <v>10.077283562397954</v>
      </c>
      <c r="F58" s="22">
        <f t="shared" si="22"/>
        <v>12.67438214492199</v>
      </c>
      <c r="G58" s="22">
        <f t="shared" si="22"/>
        <v>20.492731002728725</v>
      </c>
    </row>
    <row r="59" spans="1:7" ht="12.75">
      <c r="A59" t="s">
        <v>290</v>
      </c>
      <c r="B59" s="22">
        <f>'Res1807-1913'!K56</f>
        <v>2.523494447502793</v>
      </c>
      <c r="C59" s="22">
        <f aca="true" t="shared" si="23" ref="C59:C66">C$67*$B59/$B$67</f>
        <v>2.910283152622426</v>
      </c>
      <c r="D59" s="22">
        <f t="shared" si="22"/>
        <v>3.948381291946019</v>
      </c>
      <c r="E59" s="22">
        <f t="shared" si="22"/>
        <v>10.339346441124022</v>
      </c>
      <c r="F59" s="22">
        <f t="shared" si="22"/>
        <v>13.003983376286186</v>
      </c>
      <c r="G59" s="22">
        <f t="shared" si="22"/>
        <v>21.025650816513945</v>
      </c>
    </row>
    <row r="60" spans="1:7" ht="12.75">
      <c r="A60" t="s">
        <v>291</v>
      </c>
      <c r="B60" s="22">
        <f>'Res1807-1913'!K57</f>
        <v>2.8422241086740208</v>
      </c>
      <c r="C60" s="22">
        <f t="shared" si="23"/>
        <v>3.277866114441743</v>
      </c>
      <c r="D60" s="22">
        <f t="shared" si="22"/>
        <v>4.447081113775279</v>
      </c>
      <c r="E60" s="22">
        <f t="shared" si="22"/>
        <v>11.645256343629464</v>
      </c>
      <c r="F60" s="22">
        <f t="shared" si="22"/>
        <v>14.646449924806454</v>
      </c>
      <c r="G60" s="22">
        <f t="shared" si="22"/>
        <v>23.68129310147468</v>
      </c>
    </row>
    <row r="61" spans="1:7" ht="12.75">
      <c r="A61" t="s">
        <v>292</v>
      </c>
      <c r="B61" s="22">
        <f>'Res1807-1913'!K58</f>
        <v>3.0749869963908525</v>
      </c>
      <c r="C61" s="22">
        <f t="shared" si="23"/>
        <v>3.5463057424141327</v>
      </c>
      <c r="D61" s="22">
        <f t="shared" si="22"/>
        <v>4.8112731698465465</v>
      </c>
      <c r="E61" s="22">
        <f t="shared" si="22"/>
        <v>12.598940286592889</v>
      </c>
      <c r="F61" s="22">
        <f t="shared" si="22"/>
        <v>15.84591550139267</v>
      </c>
      <c r="G61" s="22">
        <f t="shared" si="22"/>
        <v>25.6206638042795</v>
      </c>
    </row>
    <row r="62" spans="1:7" ht="12.75">
      <c r="A62" t="s">
        <v>293</v>
      </c>
      <c r="B62" s="22">
        <f>'Res1807-1913'!K59</f>
        <v>3.2520917620585914</v>
      </c>
      <c r="C62" s="22">
        <f t="shared" si="23"/>
        <v>3.7505562476141816</v>
      </c>
      <c r="D62" s="22">
        <f t="shared" si="22"/>
        <v>5.088379839991582</v>
      </c>
      <c r="E62" s="22">
        <f t="shared" si="22"/>
        <v>13.324579897341751</v>
      </c>
      <c r="F62" s="22">
        <f t="shared" si="22"/>
        <v>16.758565589005666</v>
      </c>
      <c r="G62" s="22">
        <f t="shared" si="22"/>
        <v>27.09629334828557</v>
      </c>
    </row>
    <row r="63" spans="1:7" ht="12.75">
      <c r="A63" t="s">
        <v>294</v>
      </c>
      <c r="B63" s="22">
        <f>'Res1807-1913'!K60</f>
        <v>3.5613539542437516</v>
      </c>
      <c r="C63" s="22">
        <f t="shared" si="23"/>
        <v>4.107220613787135</v>
      </c>
      <c r="D63" s="22">
        <f t="shared" si="22"/>
        <v>5.572266402586743</v>
      </c>
      <c r="E63" s="22">
        <f t="shared" si="22"/>
        <v>14.591699367054915</v>
      </c>
      <c r="F63" s="22">
        <f t="shared" si="22"/>
        <v>18.352244707289202</v>
      </c>
      <c r="G63" s="22">
        <f t="shared" si="22"/>
        <v>29.673053075286166</v>
      </c>
    </row>
    <row r="64" spans="1:7" ht="12.75">
      <c r="A64" t="s">
        <v>295</v>
      </c>
      <c r="B64" s="22">
        <f>'Res1807-1913'!K61</f>
        <v>4.852737122140003</v>
      </c>
      <c r="C64" s="22">
        <f t="shared" si="23"/>
        <v>5.596540584682169</v>
      </c>
      <c r="D64" s="22">
        <f t="shared" si="22"/>
        <v>7.592826878121493</v>
      </c>
      <c r="E64" s="22">
        <f t="shared" si="22"/>
        <v>19.882797976100218</v>
      </c>
      <c r="F64" s="22">
        <f t="shared" si="22"/>
        <v>25.006955306853563</v>
      </c>
      <c r="G64" s="22">
        <f t="shared" si="22"/>
        <v>40.4328039379756</v>
      </c>
    </row>
    <row r="65" spans="1:7" ht="12.75">
      <c r="A65" t="s">
        <v>381</v>
      </c>
      <c r="B65" s="22">
        <f>'Res1807-1913'!K62</f>
        <v>5.142833042090202</v>
      </c>
      <c r="C65" s="22">
        <f t="shared" si="23"/>
        <v>5.931100967531846</v>
      </c>
      <c r="D65" s="22">
        <f t="shared" si="22"/>
        <v>8.046724965487886</v>
      </c>
      <c r="E65" s="22">
        <f t="shared" si="22"/>
        <v>21.071388749695874</v>
      </c>
      <c r="F65" s="22">
        <f t="shared" si="22"/>
        <v>26.50186746102689</v>
      </c>
      <c r="G65" s="22">
        <f t="shared" si="22"/>
        <v>42.8498710815963</v>
      </c>
    </row>
    <row r="66" spans="1:7" ht="12.75">
      <c r="A66" t="s">
        <v>382</v>
      </c>
      <c r="B66" s="22">
        <f>'Res1807-1913'!K63</f>
        <v>5.892535468744851</v>
      </c>
      <c r="C66" s="22">
        <f t="shared" si="23"/>
        <v>6.795714061462879</v>
      </c>
      <c r="D66" s="22">
        <f t="shared" si="22"/>
        <v>9.219745591255075</v>
      </c>
      <c r="E66" s="22">
        <f t="shared" si="22"/>
        <v>24.143094782021194</v>
      </c>
      <c r="F66" s="22">
        <f t="shared" si="22"/>
        <v>30.365207799669612</v>
      </c>
      <c r="G66" s="22">
        <f t="shared" si="22"/>
        <v>49.09636052988202</v>
      </c>
    </row>
    <row r="67" spans="1:7" ht="12.75">
      <c r="A67" t="s">
        <v>283</v>
      </c>
      <c r="B67" s="22">
        <f>'Res1807-1913'!K64</f>
        <v>6.496132616423429</v>
      </c>
      <c r="C67" s="22">
        <v>7.491827584358979</v>
      </c>
      <c r="D67" s="22">
        <v>10.164162840963899</v>
      </c>
      <c r="E67" s="22">
        <v>26.616173344527606</v>
      </c>
      <c r="F67" s="22">
        <v>33.47564352190922</v>
      </c>
      <c r="G67" s="22">
        <v>54.12550686840177</v>
      </c>
    </row>
    <row r="68" spans="1:7" ht="12.75">
      <c r="A68" s="13">
        <v>1807</v>
      </c>
      <c r="B68" s="11">
        <v>472522.56</v>
      </c>
      <c r="C68" s="11">
        <f aca="true" t="shared" si="24" ref="C68:C76">0.1*$B68*C58/100</f>
        <v>1340.3190341872714</v>
      </c>
      <c r="D68" s="11">
        <f aca="true" t="shared" si="25" ref="D68:D76">0.05*$B68*D58/100</f>
        <v>909.2054487989477</v>
      </c>
      <c r="E68" s="11">
        <f aca="true" t="shared" si="26" ref="E68:E76">0.01*$B68*E58/100</f>
        <v>476.17438267502</v>
      </c>
      <c r="F68" s="11">
        <f aca="true" t="shared" si="27" ref="F68:F76">0.005*$B68*F58/100</f>
        <v>299.44657487684145</v>
      </c>
      <c r="G68" s="11">
        <f aca="true" t="shared" si="28" ref="G68:G76">0.001*$B68*G58/100</f>
        <v>96.83277714800744</v>
      </c>
    </row>
    <row r="69" spans="1:7" ht="12.75">
      <c r="A69" s="13">
        <v>1817</v>
      </c>
      <c r="B69" s="11">
        <v>472558.995</v>
      </c>
      <c r="C69" s="11">
        <f t="shared" si="24"/>
        <v>1375.2804817686854</v>
      </c>
      <c r="D69" s="11">
        <f t="shared" si="25"/>
        <v>932.9215475994062</v>
      </c>
      <c r="E69" s="11">
        <f t="shared" si="26"/>
        <v>488.5951163174395</v>
      </c>
      <c r="F69" s="11">
        <f t="shared" si="27"/>
        <v>307.2574657647254</v>
      </c>
      <c r="G69" s="11">
        <f t="shared" si="28"/>
        <v>99.35860419072759</v>
      </c>
    </row>
    <row r="70" spans="1:7" ht="12.75">
      <c r="A70" s="13">
        <v>1827</v>
      </c>
      <c r="B70" s="11">
        <v>497884.7359999999</v>
      </c>
      <c r="C70" s="11">
        <f t="shared" si="24"/>
        <v>1631.999505032173</v>
      </c>
      <c r="D70" s="11">
        <f t="shared" si="25"/>
        <v>1107.0669031512953</v>
      </c>
      <c r="E70" s="11">
        <f t="shared" si="26"/>
        <v>579.799538030028</v>
      </c>
      <c r="F70" s="11">
        <f t="shared" si="27"/>
        <v>364.6121927074739</v>
      </c>
      <c r="G70" s="11">
        <f t="shared" si="28"/>
        <v>117.90554363966339</v>
      </c>
    </row>
    <row r="71" spans="1:7" ht="12.75">
      <c r="A71" s="13">
        <v>1837</v>
      </c>
      <c r="B71" s="11">
        <v>549660.861</v>
      </c>
      <c r="C71" s="11">
        <f t="shared" si="24"/>
        <v>1949.2654677445964</v>
      </c>
      <c r="D71" s="11">
        <f t="shared" si="25"/>
        <v>1322.284276522026</v>
      </c>
      <c r="E71" s="11">
        <f t="shared" si="26"/>
        <v>692.5144365616235</v>
      </c>
      <c r="F71" s="11">
        <f t="shared" si="27"/>
        <v>435.4939778914371</v>
      </c>
      <c r="G71" s="11">
        <f t="shared" si="28"/>
        <v>140.82676126051808</v>
      </c>
    </row>
    <row r="72" spans="1:7" ht="12.75">
      <c r="A72" s="13">
        <v>1847</v>
      </c>
      <c r="B72" s="11">
        <v>558686.5725</v>
      </c>
      <c r="C72" s="11">
        <f t="shared" si="24"/>
        <v>2095.3854149480285</v>
      </c>
      <c r="D72" s="11">
        <f t="shared" si="25"/>
        <v>1421.404746191498</v>
      </c>
      <c r="E72" s="11">
        <f t="shared" si="26"/>
        <v>744.4263872848264</v>
      </c>
      <c r="F72" s="11">
        <f t="shared" si="27"/>
        <v>468.139278446901</v>
      </c>
      <c r="G72" s="11">
        <f t="shared" si="28"/>
        <v>151.38335258208215</v>
      </c>
    </row>
    <row r="73" spans="1:7" ht="12.75">
      <c r="A73" s="13">
        <v>1857</v>
      </c>
      <c r="B73" s="11">
        <v>540468.6039999999</v>
      </c>
      <c r="C73" s="11">
        <f t="shared" si="24"/>
        <v>2219.8237914535557</v>
      </c>
      <c r="D73" s="11">
        <f t="shared" si="25"/>
        <v>1505.8175218610795</v>
      </c>
      <c r="E73" s="11">
        <f t="shared" si="26"/>
        <v>788.6355386899853</v>
      </c>
      <c r="F73" s="11">
        <f t="shared" si="27"/>
        <v>495.9406038607492</v>
      </c>
      <c r="G73" s="11">
        <f t="shared" si="28"/>
        <v>160.37353572017818</v>
      </c>
    </row>
    <row r="74" spans="1:7" ht="12.75">
      <c r="A74" s="13">
        <v>1867</v>
      </c>
      <c r="B74" s="11">
        <v>580146.818</v>
      </c>
      <c r="C74" s="11">
        <f t="shared" si="24"/>
        <v>3246.8152120112204</v>
      </c>
      <c r="D74" s="11">
        <f t="shared" si="25"/>
        <v>2202.477176483529</v>
      </c>
      <c r="E74" s="11">
        <f t="shared" si="26"/>
        <v>1153.494197877138</v>
      </c>
      <c r="F74" s="11">
        <f t="shared" si="27"/>
        <v>725.3852774569655</v>
      </c>
      <c r="G74" s="11">
        <f t="shared" si="28"/>
        <v>234.5696254743441</v>
      </c>
    </row>
    <row r="75" spans="1:7" ht="12.75">
      <c r="A75" s="13">
        <v>1877</v>
      </c>
      <c r="B75" s="11">
        <v>559555</v>
      </c>
      <c r="C75" s="11">
        <f t="shared" si="24"/>
        <v>3318.777201887282</v>
      </c>
      <c r="D75" s="11">
        <f t="shared" si="25"/>
        <v>2251.292594031787</v>
      </c>
      <c r="E75" s="11">
        <f t="shared" si="26"/>
        <v>1179.0600931836075</v>
      </c>
      <c r="F75" s="11">
        <f t="shared" si="27"/>
        <v>741.4626223577451</v>
      </c>
      <c r="G75" s="11">
        <f t="shared" si="28"/>
        <v>239.76859613062618</v>
      </c>
    </row>
    <row r="76" spans="1:7" ht="12.75">
      <c r="A76" s="13">
        <v>1887</v>
      </c>
      <c r="B76" s="11">
        <v>583976</v>
      </c>
      <c r="C76" s="11">
        <f t="shared" si="24"/>
        <v>3968.5339147568466</v>
      </c>
      <c r="D76" s="11">
        <f t="shared" si="25"/>
        <v>2692.055075699387</v>
      </c>
      <c r="E76" s="11">
        <f t="shared" si="26"/>
        <v>1409.898791842561</v>
      </c>
      <c r="F76" s="11">
        <f t="shared" si="27"/>
        <v>886.6276295009931</v>
      </c>
      <c r="G76" s="11">
        <f t="shared" si="28"/>
        <v>286.7109623679838</v>
      </c>
    </row>
    <row r="77" spans="1:7" ht="12.75">
      <c r="A77" s="13">
        <v>1902</v>
      </c>
      <c r="B77" s="11">
        <v>559810</v>
      </c>
      <c r="C77" s="11">
        <f>0.1*$B77*C$67/100</f>
        <v>4194</v>
      </c>
      <c r="D77" s="11">
        <f>0.05*$B77*D$67/100</f>
        <v>2845</v>
      </c>
      <c r="E77" s="11">
        <f>0.01*$B77*E$67/100</f>
        <v>1490</v>
      </c>
      <c r="F77" s="11">
        <f>0.005*$B77*F$67/100</f>
        <v>937.0000000000001</v>
      </c>
      <c r="G77" s="11">
        <f>0.001*$B77*G$67/100</f>
        <v>303</v>
      </c>
    </row>
    <row r="79" ht="12.75">
      <c r="A79" t="s">
        <v>285</v>
      </c>
    </row>
    <row r="81" spans="2:17" ht="12.75">
      <c r="B81" t="s">
        <v>61</v>
      </c>
      <c r="C81" t="s">
        <v>51</v>
      </c>
      <c r="D81" t="s">
        <v>52</v>
      </c>
      <c r="E81" t="s">
        <v>53</v>
      </c>
      <c r="F81" t="s">
        <v>54</v>
      </c>
      <c r="G81" t="s">
        <v>55</v>
      </c>
      <c r="H81" t="s">
        <v>11</v>
      </c>
      <c r="I81" t="s">
        <v>12</v>
      </c>
      <c r="J81" t="s">
        <v>13</v>
      </c>
      <c r="K81" t="s">
        <v>14</v>
      </c>
      <c r="L81" t="s">
        <v>15</v>
      </c>
      <c r="M81" t="s">
        <v>64</v>
      </c>
      <c r="N81" t="s">
        <v>65</v>
      </c>
      <c r="O81" t="s">
        <v>66</v>
      </c>
      <c r="P81" t="s">
        <v>67</v>
      </c>
      <c r="Q81" t="s">
        <v>55</v>
      </c>
    </row>
    <row r="82" spans="1:22" ht="12.75">
      <c r="A82" s="13">
        <v>1807</v>
      </c>
      <c r="B82" s="11">
        <v>1663.8253246462575</v>
      </c>
      <c r="C82" s="11">
        <f aca="true" t="shared" si="29" ref="C82:C88">(1*M82/1.1+1*D82)/2</f>
        <v>16194.306818181814</v>
      </c>
      <c r="D82" s="11">
        <f aca="true" t="shared" si="30" ref="D82:D88">(4*N82/1.1+1*E82)/5</f>
        <v>26706.79545454545</v>
      </c>
      <c r="E82" s="11">
        <f aca="true" t="shared" si="31" ref="E82:E88">(1*O82/1.1+1*F82)/2</f>
        <v>72246.70454545453</v>
      </c>
      <c r="F82" s="11">
        <f aca="true" t="shared" si="32" ref="F82:F88">(4*P82/1.1+1*G82)/5</f>
        <v>110938.86363636362</v>
      </c>
      <c r="G82" s="11">
        <f aca="true" t="shared" si="33" ref="G82:G88">Q82/1.2</f>
        <v>271632.5</v>
      </c>
      <c r="H82" s="11">
        <v>3699</v>
      </c>
      <c r="I82" s="11">
        <v>9695</v>
      </c>
      <c r="J82" s="11">
        <v>28000</v>
      </c>
      <c r="K82" s="11">
        <v>50584</v>
      </c>
      <c r="L82" s="11">
        <v>125870</v>
      </c>
      <c r="M82" s="11">
        <v>6250</v>
      </c>
      <c r="N82" s="11">
        <v>16854</v>
      </c>
      <c r="O82" s="11">
        <v>36910</v>
      </c>
      <c r="P82" s="11">
        <v>77842</v>
      </c>
      <c r="Q82" s="11">
        <v>325959</v>
      </c>
      <c r="R82" s="61">
        <f aca="true" t="shared" si="34" ref="R82:R92">(I82-M82)/(I82-H82)</f>
        <v>0.5745496997998666</v>
      </c>
      <c r="S82" s="61">
        <f aca="true" t="shared" si="35" ref="S82:S92">(J82-N82)/(J82-I82)</f>
        <v>0.6089046708549577</v>
      </c>
      <c r="T82" s="61">
        <f aca="true" t="shared" si="36" ref="T82:T92">(K82-O82)/(K82-J82)</f>
        <v>0.6054729011689692</v>
      </c>
      <c r="U82" s="61">
        <f aca="true" t="shared" si="37" ref="U82:U92">(L82-P82)/(L82-K82)</f>
        <v>0.637940652976649</v>
      </c>
      <c r="V82" s="61">
        <f aca="true" t="shared" si="38" ref="V82:V92">Q82/L82</f>
        <v>2.5896480495749583</v>
      </c>
    </row>
    <row r="83" spans="1:22" ht="12.75">
      <c r="A83" s="13">
        <v>1817</v>
      </c>
      <c r="B83" s="11">
        <v>1540.5704861635056</v>
      </c>
      <c r="C83" s="11">
        <f t="shared" si="29"/>
        <v>13386.256060606062</v>
      </c>
      <c r="D83" s="11">
        <f t="shared" si="30"/>
        <v>23192.512121212123</v>
      </c>
      <c r="E83" s="11">
        <f t="shared" si="31"/>
        <v>68540.74242424243</v>
      </c>
      <c r="F83" s="11">
        <f t="shared" si="32"/>
        <v>109026.9393939394</v>
      </c>
      <c r="G83" s="11">
        <f t="shared" si="33"/>
        <v>278458.3333333334</v>
      </c>
      <c r="H83" s="11">
        <v>2060</v>
      </c>
      <c r="I83" s="11">
        <v>7200</v>
      </c>
      <c r="J83" s="11">
        <v>21900</v>
      </c>
      <c r="K83" s="11">
        <v>42484</v>
      </c>
      <c r="L83" s="11">
        <v>132833</v>
      </c>
      <c r="M83" s="11">
        <v>3938</v>
      </c>
      <c r="N83" s="11">
        <v>13041</v>
      </c>
      <c r="O83" s="11">
        <v>30860</v>
      </c>
      <c r="P83" s="11">
        <v>73336</v>
      </c>
      <c r="Q83" s="11">
        <v>334150</v>
      </c>
      <c r="R83" s="61">
        <f t="shared" si="34"/>
        <v>0.6346303501945525</v>
      </c>
      <c r="S83" s="61">
        <f t="shared" si="35"/>
        <v>0.6026530612244898</v>
      </c>
      <c r="T83" s="61">
        <f t="shared" si="36"/>
        <v>0.5647104547221142</v>
      </c>
      <c r="U83" s="61">
        <f t="shared" si="37"/>
        <v>0.6585241673953226</v>
      </c>
      <c r="V83" s="61">
        <f t="shared" si="38"/>
        <v>2.51556465637304</v>
      </c>
    </row>
    <row r="84" spans="1:22" ht="12.75">
      <c r="A84" s="13">
        <v>1827</v>
      </c>
      <c r="B84" s="11">
        <v>2731.5559238192836</v>
      </c>
      <c r="C84" s="11">
        <f t="shared" si="29"/>
        <v>24908.812878787878</v>
      </c>
      <c r="D84" s="11">
        <f t="shared" si="30"/>
        <v>42542.17121212121</v>
      </c>
      <c r="E84" s="11">
        <f t="shared" si="31"/>
        <v>123572.67424242424</v>
      </c>
      <c r="F84" s="11">
        <f t="shared" si="32"/>
        <v>190584.4393939394</v>
      </c>
      <c r="G84" s="11">
        <f t="shared" si="33"/>
        <v>445485.8333333334</v>
      </c>
      <c r="H84" s="11">
        <v>4150</v>
      </c>
      <c r="I84" s="11">
        <v>12649</v>
      </c>
      <c r="J84" s="11">
        <v>44000</v>
      </c>
      <c r="K84" s="11">
        <v>83511</v>
      </c>
      <c r="L84" s="11">
        <v>243950</v>
      </c>
      <c r="M84" s="11">
        <v>8003</v>
      </c>
      <c r="N84" s="11">
        <v>24513</v>
      </c>
      <c r="O84" s="11">
        <v>62217</v>
      </c>
      <c r="P84" s="11">
        <v>139545</v>
      </c>
      <c r="Q84" s="11">
        <v>534583</v>
      </c>
      <c r="R84" s="61">
        <f t="shared" si="34"/>
        <v>0.5466525473585128</v>
      </c>
      <c r="S84" s="61">
        <f t="shared" si="35"/>
        <v>0.6215750693757774</v>
      </c>
      <c r="T84" s="61">
        <f t="shared" si="36"/>
        <v>0.538938523449166</v>
      </c>
      <c r="U84" s="61">
        <f t="shared" si="37"/>
        <v>0.6507457663037042</v>
      </c>
      <c r="V84" s="61">
        <f t="shared" si="38"/>
        <v>2.1913629842180775</v>
      </c>
    </row>
    <row r="85" spans="1:22" ht="12.75">
      <c r="A85" s="13">
        <v>1837</v>
      </c>
      <c r="B85" s="11">
        <v>3049.1528848367466</v>
      </c>
      <c r="C85" s="11">
        <f t="shared" si="29"/>
        <v>27041.440151515148</v>
      </c>
      <c r="D85" s="11">
        <f t="shared" si="30"/>
        <v>46883.78939393939</v>
      </c>
      <c r="E85" s="11">
        <f t="shared" si="31"/>
        <v>133451.67424242425</v>
      </c>
      <c r="F85" s="11">
        <f t="shared" si="32"/>
        <v>202772.4393939394</v>
      </c>
      <c r="G85" s="11">
        <f t="shared" si="33"/>
        <v>449745.8333333334</v>
      </c>
      <c r="H85" s="11">
        <v>4166</v>
      </c>
      <c r="I85" s="11">
        <v>13750</v>
      </c>
      <c r="J85" s="11">
        <v>51511</v>
      </c>
      <c r="K85" s="11">
        <v>94320</v>
      </c>
      <c r="L85" s="11">
        <v>249171</v>
      </c>
      <c r="M85" s="11">
        <v>7919</v>
      </c>
      <c r="N85" s="11">
        <v>27766</v>
      </c>
      <c r="O85" s="11">
        <v>70544</v>
      </c>
      <c r="P85" s="11">
        <v>155132</v>
      </c>
      <c r="Q85" s="11">
        <v>539695</v>
      </c>
      <c r="R85" s="61">
        <f t="shared" si="34"/>
        <v>0.6084098497495827</v>
      </c>
      <c r="S85" s="61">
        <f t="shared" si="35"/>
        <v>0.6288233892110908</v>
      </c>
      <c r="T85" s="61">
        <f t="shared" si="36"/>
        <v>0.555397229554533</v>
      </c>
      <c r="U85" s="61">
        <f t="shared" si="37"/>
        <v>0.6072870049273172</v>
      </c>
      <c r="V85" s="61">
        <f t="shared" si="38"/>
        <v>2.165962331089894</v>
      </c>
    </row>
    <row r="86" spans="1:22" ht="12.75">
      <c r="A86" s="13">
        <v>1847</v>
      </c>
      <c r="B86" s="11">
        <v>3678.2698943422342</v>
      </c>
      <c r="C86" s="11">
        <f t="shared" si="29"/>
        <v>33099.39621212121</v>
      </c>
      <c r="D86" s="11">
        <f t="shared" si="30"/>
        <v>58103.337878787876</v>
      </c>
      <c r="E86" s="11">
        <f t="shared" si="31"/>
        <v>176102.14393939395</v>
      </c>
      <c r="F86" s="11">
        <f t="shared" si="32"/>
        <v>275156.1060606061</v>
      </c>
      <c r="G86" s="11">
        <f t="shared" si="33"/>
        <v>677984.1666666667</v>
      </c>
      <c r="H86" s="11">
        <v>4262</v>
      </c>
      <c r="I86" s="11">
        <v>15780</v>
      </c>
      <c r="J86" s="11">
        <v>57980</v>
      </c>
      <c r="K86" s="11">
        <v>118529</v>
      </c>
      <c r="L86" s="11">
        <v>335707</v>
      </c>
      <c r="M86" s="11">
        <v>8905</v>
      </c>
      <c r="N86" s="11">
        <v>31464</v>
      </c>
      <c r="O86" s="11">
        <v>84753</v>
      </c>
      <c r="P86" s="11">
        <v>191894</v>
      </c>
      <c r="Q86" s="11">
        <v>813581</v>
      </c>
      <c r="R86" s="61">
        <f t="shared" si="34"/>
        <v>0.5968918214967877</v>
      </c>
      <c r="S86" s="61">
        <f t="shared" si="35"/>
        <v>0.6283412322274882</v>
      </c>
      <c r="T86" s="61">
        <f t="shared" si="36"/>
        <v>0.5578291961882113</v>
      </c>
      <c r="U86" s="61">
        <f t="shared" si="37"/>
        <v>0.6621895403770179</v>
      </c>
      <c r="V86" s="61">
        <f t="shared" si="38"/>
        <v>2.4234853607461266</v>
      </c>
    </row>
    <row r="87" spans="1:22" ht="12.75">
      <c r="A87" s="13">
        <v>1857</v>
      </c>
      <c r="B87" s="11">
        <v>4146.401813934043</v>
      </c>
      <c r="C87" s="11">
        <f t="shared" si="29"/>
        <v>44199.091200466195</v>
      </c>
      <c r="D87" s="11">
        <f t="shared" si="30"/>
        <v>74640.00058275058</v>
      </c>
      <c r="E87" s="11">
        <f>(1*O87/1.2+1*F87)/2</f>
        <v>205327.27564102566</v>
      </c>
      <c r="F87" s="11">
        <f>(4*P87/1.2+1*G87)/5</f>
        <v>315965.3846153846</v>
      </c>
      <c r="G87" s="11">
        <f>Q87/1.3</f>
        <v>722626.923076923</v>
      </c>
      <c r="H87" s="11">
        <v>8795</v>
      </c>
      <c r="I87" s="11">
        <v>24711</v>
      </c>
      <c r="J87" s="11">
        <v>82600</v>
      </c>
      <c r="K87" s="11">
        <v>152400</v>
      </c>
      <c r="L87" s="11">
        <v>462327</v>
      </c>
      <c r="M87" s="11">
        <v>15134</v>
      </c>
      <c r="N87" s="11">
        <v>46165</v>
      </c>
      <c r="O87" s="11">
        <v>113627</v>
      </c>
      <c r="P87" s="11">
        <v>257160</v>
      </c>
      <c r="Q87" s="11">
        <v>939415</v>
      </c>
      <c r="R87" s="61">
        <f t="shared" si="34"/>
        <v>0.6017215380748931</v>
      </c>
      <c r="S87" s="61">
        <f t="shared" si="35"/>
        <v>0.6293941854238284</v>
      </c>
      <c r="T87" s="61">
        <f t="shared" si="36"/>
        <v>0.555487106017192</v>
      </c>
      <c r="U87" s="61">
        <f t="shared" si="37"/>
        <v>0.6619849190293198</v>
      </c>
      <c r="V87" s="61">
        <f t="shared" si="38"/>
        <v>2.0319276183307484</v>
      </c>
    </row>
    <row r="88" spans="1:22" ht="12.75">
      <c r="A88" s="13">
        <v>1867</v>
      </c>
      <c r="B88" s="11">
        <v>5726.136724238657</v>
      </c>
      <c r="C88" s="11">
        <f t="shared" si="29"/>
        <v>55959.36666666666</v>
      </c>
      <c r="D88" s="11">
        <f t="shared" si="30"/>
        <v>94611.4606060606</v>
      </c>
      <c r="E88" s="11">
        <f t="shared" si="31"/>
        <v>274613.6666666667</v>
      </c>
      <c r="F88" s="11">
        <f t="shared" si="32"/>
        <v>425132.7878787879</v>
      </c>
      <c r="G88" s="11">
        <f t="shared" si="33"/>
        <v>997976.6666666667</v>
      </c>
      <c r="H88" s="11">
        <v>11343</v>
      </c>
      <c r="I88" s="11">
        <v>30000</v>
      </c>
      <c r="J88" s="11">
        <v>96212</v>
      </c>
      <c r="K88" s="11">
        <v>184396</v>
      </c>
      <c r="L88" s="11">
        <v>549600</v>
      </c>
      <c r="M88" s="11">
        <v>19038</v>
      </c>
      <c r="N88" s="11">
        <v>54572</v>
      </c>
      <c r="O88" s="11">
        <v>136504</v>
      </c>
      <c r="P88" s="11">
        <v>310114</v>
      </c>
      <c r="Q88" s="11">
        <v>1197572</v>
      </c>
      <c r="R88" s="61">
        <f t="shared" si="34"/>
        <v>0.5875542691751086</v>
      </c>
      <c r="S88" s="61">
        <f t="shared" si="35"/>
        <v>0.6288890231377998</v>
      </c>
      <c r="T88" s="61">
        <f t="shared" si="36"/>
        <v>0.5430917173183344</v>
      </c>
      <c r="U88" s="61">
        <f t="shared" si="37"/>
        <v>0.6557595207062354</v>
      </c>
      <c r="V88" s="61">
        <f t="shared" si="38"/>
        <v>2.1789883551673945</v>
      </c>
    </row>
    <row r="89" spans="1:22" ht="12.75">
      <c r="A89" s="13">
        <v>1877</v>
      </c>
      <c r="B89" s="11">
        <v>7931.296883204058</v>
      </c>
      <c r="C89" s="11">
        <f>(1*M89/1.1+1*D89)/2</f>
        <v>72935.0341991342</v>
      </c>
      <c r="D89" s="11">
        <f>(4*N89/1.1+1*E89)/5</f>
        <v>123696.43203463203</v>
      </c>
      <c r="E89" s="11">
        <f>(1*O89/1.05+1*F89)/2</f>
        <v>373958.5238095238</v>
      </c>
      <c r="F89" s="11">
        <f>(4*P89/1.05+1*G89)/5</f>
        <v>597577.0476190476</v>
      </c>
      <c r="G89" s="11">
        <f>Q89/1.2</f>
        <v>1597123.3333333335</v>
      </c>
      <c r="H89" s="11">
        <v>15127</v>
      </c>
      <c r="I89" s="11">
        <v>37000</v>
      </c>
      <c r="J89" s="11">
        <v>115916</v>
      </c>
      <c r="K89" s="11">
        <v>217600</v>
      </c>
      <c r="L89" s="11">
        <v>653654</v>
      </c>
      <c r="M89" s="11">
        <v>24391</v>
      </c>
      <c r="N89" s="11">
        <v>67244</v>
      </c>
      <c r="O89" s="11">
        <v>157857</v>
      </c>
      <c r="P89" s="11">
        <v>365075</v>
      </c>
      <c r="Q89" s="11">
        <v>1916548</v>
      </c>
      <c r="R89" s="61">
        <f aca="true" t="shared" si="39" ref="R89:U90">(I89-M89)/(I89-H89)</f>
        <v>0.5764641338636676</v>
      </c>
      <c r="S89" s="61">
        <f t="shared" si="39"/>
        <v>0.6167570581377667</v>
      </c>
      <c r="T89" s="61">
        <f t="shared" si="39"/>
        <v>0.5875358955194524</v>
      </c>
      <c r="U89" s="61">
        <f t="shared" si="39"/>
        <v>0.6617964747485403</v>
      </c>
      <c r="V89" s="61">
        <f>Q89/L89</f>
        <v>2.9320527373809386</v>
      </c>
    </row>
    <row r="90" spans="1:22" ht="12.75">
      <c r="A90" s="13">
        <v>1887</v>
      </c>
      <c r="B90" s="11">
        <v>9262.365043282933</v>
      </c>
      <c r="C90" s="11">
        <f>(1*M90/1.1+1*D90)/2</f>
        <v>85026.52272727274</v>
      </c>
      <c r="D90" s="11">
        <f>(4*N90/1.1+1*E90)/5</f>
        <v>148143.04545454547</v>
      </c>
      <c r="E90" s="11">
        <f>(1*O90/1+1*F90)/2</f>
        <v>451140.6818181818</v>
      </c>
      <c r="F90" s="11">
        <f>(4*P90/1+1*G90)/5</f>
        <v>712066.3636363636</v>
      </c>
      <c r="G90" s="11">
        <f>Q90/1.1</f>
        <v>1782971.8181818181</v>
      </c>
      <c r="H90" s="11">
        <v>16292</v>
      </c>
      <c r="I90" s="11">
        <v>41498</v>
      </c>
      <c r="J90" s="11">
        <v>139599</v>
      </c>
      <c r="K90" s="11">
        <v>256000</v>
      </c>
      <c r="L90" s="11">
        <v>768647</v>
      </c>
      <c r="M90" s="11">
        <v>24101</v>
      </c>
      <c r="N90" s="11">
        <v>79633</v>
      </c>
      <c r="O90" s="11">
        <v>190215</v>
      </c>
      <c r="P90" s="11">
        <v>444340</v>
      </c>
      <c r="Q90" s="11">
        <v>1961269</v>
      </c>
      <c r="R90" s="61">
        <f t="shared" si="39"/>
        <v>0.6901928112354201</v>
      </c>
      <c r="S90" s="61">
        <f t="shared" si="39"/>
        <v>0.6112679789196848</v>
      </c>
      <c r="T90" s="61">
        <f t="shared" si="39"/>
        <v>0.5651583749280504</v>
      </c>
      <c r="U90" s="61">
        <f t="shared" si="39"/>
        <v>0.6326126945051859</v>
      </c>
      <c r="V90" s="61">
        <f>Q90/L90</f>
        <v>2.551586098690296</v>
      </c>
    </row>
    <row r="91" spans="1:22" ht="12.75">
      <c r="A91" s="13" t="s">
        <v>123</v>
      </c>
      <c r="B91" s="11">
        <v>8524.545836980404</v>
      </c>
      <c r="C91" s="11">
        <v>294534</v>
      </c>
      <c r="D91" s="11">
        <v>426106</v>
      </c>
      <c r="E91" s="11">
        <v>759092</v>
      </c>
      <c r="F91" s="11">
        <v>1108350</v>
      </c>
      <c r="G91" s="11">
        <v>2504525</v>
      </c>
      <c r="H91" s="11">
        <v>9536</v>
      </c>
      <c r="I91" s="11">
        <v>28872</v>
      </c>
      <c r="J91" s="11">
        <v>115699</v>
      </c>
      <c r="K91" s="11">
        <v>237575</v>
      </c>
      <c r="L91" s="11">
        <v>833667</v>
      </c>
      <c r="M91" s="11">
        <v>17142</v>
      </c>
      <c r="N91" s="11">
        <v>60147</v>
      </c>
      <c r="O91" s="11">
        <v>167819</v>
      </c>
      <c r="P91" s="11">
        <v>442679</v>
      </c>
      <c r="Q91" s="11">
        <v>2504525</v>
      </c>
      <c r="R91" s="61">
        <f t="shared" si="34"/>
        <v>0.6066404633843607</v>
      </c>
      <c r="S91" s="61">
        <f t="shared" si="35"/>
        <v>0.6398009835650201</v>
      </c>
      <c r="T91" s="61">
        <f t="shared" si="36"/>
        <v>0.5723522268535233</v>
      </c>
      <c r="U91" s="61">
        <f t="shared" si="37"/>
        <v>0.6559188850043282</v>
      </c>
      <c r="V91" s="61">
        <f t="shared" si="38"/>
        <v>3.0042271074661704</v>
      </c>
    </row>
    <row r="92" spans="1:22" ht="12.75">
      <c r="A92" t="s">
        <v>284</v>
      </c>
      <c r="B92" s="11">
        <f>B91</f>
        <v>8524.545836980404</v>
      </c>
      <c r="C92" s="11">
        <v>71556.10660455885</v>
      </c>
      <c r="D92" s="11">
        <v>128675.02235791567</v>
      </c>
      <c r="E92" s="11">
        <v>440221.41150654573</v>
      </c>
      <c r="F92" s="11">
        <v>710626.4109853982</v>
      </c>
      <c r="G92" s="11">
        <v>1970616.312880666</v>
      </c>
      <c r="H92" s="11">
        <v>9533.182931326139</v>
      </c>
      <c r="I92" s="11">
        <v>28853.23417746722</v>
      </c>
      <c r="J92" s="11">
        <v>115608.891952939</v>
      </c>
      <c r="K92" s="11">
        <v>235831.66302222369</v>
      </c>
      <c r="L92" s="11">
        <v>833103.3410131572</v>
      </c>
      <c r="M92" s="11">
        <f>(10*C92-5*D92)/5</f>
        <v>14437.190851202049</v>
      </c>
      <c r="N92" s="11">
        <f>(5*D92-1*E92)/4</f>
        <v>50788.42507075815</v>
      </c>
      <c r="O92" s="11">
        <f>(10*E92-5*F92)/5</f>
        <v>169816.41202769327</v>
      </c>
      <c r="P92" s="11">
        <f>(5*F92-1*G92)/4</f>
        <v>395628.93551158125</v>
      </c>
      <c r="Q92" s="11">
        <f>G92</f>
        <v>1970616.312880666</v>
      </c>
      <c r="R92" s="61">
        <f t="shared" si="34"/>
        <v>0.746170035607156</v>
      </c>
      <c r="S92" s="61">
        <f t="shared" si="35"/>
        <v>0.7471612635332631</v>
      </c>
      <c r="T92" s="61">
        <f t="shared" si="36"/>
        <v>0.549107714016055</v>
      </c>
      <c r="U92" s="61">
        <f t="shared" si="37"/>
        <v>0.7324546293122856</v>
      </c>
      <c r="V92" s="61">
        <f t="shared" si="38"/>
        <v>2.365392401960784</v>
      </c>
    </row>
    <row r="93" spans="1:22" ht="12.75">
      <c r="A93" t="s">
        <v>130</v>
      </c>
      <c r="B93" s="61">
        <f aca="true" t="shared" si="40" ref="B93:Q93">B91/B92</f>
        <v>1</v>
      </c>
      <c r="C93" s="61">
        <f t="shared" si="40"/>
        <v>4.116126686820538</v>
      </c>
      <c r="D93" s="61">
        <f t="shared" si="40"/>
        <v>3.3114896130716494</v>
      </c>
      <c r="E93" s="61">
        <f t="shared" si="40"/>
        <v>1.724341388580353</v>
      </c>
      <c r="F93" s="61">
        <f t="shared" si="40"/>
        <v>1.5596802804769019</v>
      </c>
      <c r="G93" s="61">
        <f t="shared" si="40"/>
        <v>1.2709348763782744</v>
      </c>
      <c r="H93" s="61">
        <f t="shared" si="40"/>
        <v>1.0002955013759995</v>
      </c>
      <c r="I93" s="61">
        <f t="shared" si="40"/>
        <v>1.000650388875554</v>
      </c>
      <c r="J93" s="61">
        <f t="shared" si="40"/>
        <v>1.000779421422858</v>
      </c>
      <c r="K93" s="61">
        <f t="shared" si="40"/>
        <v>1.0073922939584752</v>
      </c>
      <c r="L93" s="61">
        <f t="shared" si="40"/>
        <v>1.00067657751337</v>
      </c>
      <c r="M93" s="61">
        <f t="shared" si="40"/>
        <v>1.1873500999380877</v>
      </c>
      <c r="N93" s="61">
        <f t="shared" si="40"/>
        <v>1.1842659014569468</v>
      </c>
      <c r="O93" s="61">
        <f t="shared" si="40"/>
        <v>0.9882378151567145</v>
      </c>
      <c r="P93" s="61">
        <f t="shared" si="40"/>
        <v>1.118924730385504</v>
      </c>
      <c r="Q93" s="61">
        <f t="shared" si="40"/>
        <v>1.2709348763782744</v>
      </c>
      <c r="R93" s="61"/>
      <c r="S93" s="61"/>
      <c r="T93" s="61"/>
      <c r="U93" s="61"/>
      <c r="V93" s="61"/>
    </row>
    <row r="94" spans="1:22" ht="12.75">
      <c r="A94" s="27" t="s">
        <v>286</v>
      </c>
      <c r="B94" s="11">
        <f>B91</f>
        <v>8524.545836980404</v>
      </c>
      <c r="C94" s="11">
        <f>(1*M94/1.1+1*D94)/2</f>
        <v>74260.05075757575</v>
      </c>
      <c r="D94" s="11">
        <f>(4*N94/1.1+1*E94)/5</f>
        <v>132936.46515151515</v>
      </c>
      <c r="E94" s="11">
        <f>(1*O94/1.1+1*F94)/2</f>
        <v>445965.96212121216</v>
      </c>
      <c r="F94" s="11">
        <f>(4*P94/1.1+1*G94)/5</f>
        <v>739369.196969697</v>
      </c>
      <c r="G94" s="11">
        <f>Q94/1.2</f>
        <v>2087104.1666666667</v>
      </c>
      <c r="H94" s="11">
        <v>9536</v>
      </c>
      <c r="I94" s="11">
        <v>28872</v>
      </c>
      <c r="J94" s="11">
        <v>115699</v>
      </c>
      <c r="K94" s="11">
        <v>237575</v>
      </c>
      <c r="L94" s="11">
        <v>833667</v>
      </c>
      <c r="M94" s="11">
        <v>17142</v>
      </c>
      <c r="N94" s="11">
        <v>60147</v>
      </c>
      <c r="O94" s="11">
        <v>167819</v>
      </c>
      <c r="P94" s="11">
        <v>442679</v>
      </c>
      <c r="Q94" s="11">
        <v>2504525</v>
      </c>
      <c r="R94" s="61">
        <f>(I94-M94)/(I94-H94)</f>
        <v>0.6066404633843607</v>
      </c>
      <c r="S94" s="61">
        <f>(J94-N94)/(J94-I94)</f>
        <v>0.6398009835650201</v>
      </c>
      <c r="T94" s="61">
        <f>(K94-O94)/(K94-J94)</f>
        <v>0.5723522268535233</v>
      </c>
      <c r="U94" s="61">
        <f>(L94-P94)/(L94-K94)</f>
        <v>0.6559188850043282</v>
      </c>
      <c r="V94" s="61">
        <f>Q94/L94</f>
        <v>3.0042271074661704</v>
      </c>
    </row>
    <row r="95" spans="1:12" ht="12.75">
      <c r="A95" s="13" t="s">
        <v>130</v>
      </c>
      <c r="B95" s="61">
        <f aca="true" t="shared" si="41" ref="B95:L95">B94/B92</f>
        <v>1</v>
      </c>
      <c r="C95" s="61">
        <f t="shared" si="41"/>
        <v>1.0377877484022395</v>
      </c>
      <c r="D95" s="61">
        <f t="shared" si="41"/>
        <v>1.0331178710173141</v>
      </c>
      <c r="E95" s="61">
        <f t="shared" si="41"/>
        <v>1.013049230374795</v>
      </c>
      <c r="F95" s="61">
        <f t="shared" si="41"/>
        <v>1.0404471119282526</v>
      </c>
      <c r="G95" s="61">
        <f t="shared" si="41"/>
        <v>1.0591123969818954</v>
      </c>
      <c r="H95" s="61">
        <f t="shared" si="41"/>
        <v>1.0002955013759995</v>
      </c>
      <c r="I95" s="61">
        <f t="shared" si="41"/>
        <v>1.000650388875554</v>
      </c>
      <c r="J95" s="61">
        <f t="shared" si="41"/>
        <v>1.000779421422858</v>
      </c>
      <c r="K95" s="61">
        <f t="shared" si="41"/>
        <v>1.0073922939584752</v>
      </c>
      <c r="L95" s="61">
        <f t="shared" si="41"/>
        <v>1.00067657751337</v>
      </c>
    </row>
    <row r="96" spans="1:12" ht="12.75">
      <c r="A96" s="27" t="s">
        <v>303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1:12" ht="12.75">
      <c r="A97" s="27" t="s">
        <v>298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2" ht="12.75">
      <c r="A98" s="27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</row>
    <row r="99" ht="12.75">
      <c r="A99" s="27" t="s">
        <v>299</v>
      </c>
    </row>
    <row r="100" spans="1:10" ht="12.75">
      <c r="A100" t="s">
        <v>288</v>
      </c>
      <c r="B100" t="s">
        <v>61</v>
      </c>
      <c r="C100" t="s">
        <v>51</v>
      </c>
      <c r="D100" t="s">
        <v>52</v>
      </c>
      <c r="E100" t="s">
        <v>53</v>
      </c>
      <c r="F100" t="s">
        <v>54</v>
      </c>
      <c r="G100" t="s">
        <v>55</v>
      </c>
      <c r="H100" t="s">
        <v>378</v>
      </c>
      <c r="I100" t="s">
        <v>315</v>
      </c>
      <c r="J100" t="s">
        <v>377</v>
      </c>
    </row>
    <row r="101" spans="1:10" ht="12.75">
      <c r="A101" s="13">
        <v>1807</v>
      </c>
      <c r="B101" s="22">
        <v>100</v>
      </c>
      <c r="C101" s="22">
        <f aca="true" t="shared" si="42" ref="C101:C109">10*C82/$B82</f>
        <v>97.3317726223746</v>
      </c>
      <c r="D101" s="22">
        <f aca="true" t="shared" si="43" ref="D101:D109">5*D82/$B82</f>
        <v>80.25720927232408</v>
      </c>
      <c r="E101" s="22">
        <f aca="true" t="shared" si="44" ref="E101:E109">1*E82/$B82</f>
        <v>43.422048862499885</v>
      </c>
      <c r="F101" s="22">
        <f aca="true" t="shared" si="45" ref="F101:F109">0.5*F82/$B82</f>
        <v>33.33849473049405</v>
      </c>
      <c r="G101" s="22">
        <f aca="true" t="shared" si="46" ref="G101:G109">0.1*G82/$B82</f>
        <v>16.325782278722752</v>
      </c>
      <c r="H101" s="22">
        <f>0.9*C101</f>
        <v>87.59859536013714</v>
      </c>
      <c r="I101" s="22">
        <f>0.95*E101</f>
        <v>41.25094641937489</v>
      </c>
      <c r="J101" s="22">
        <f>0.95*G101</f>
        <v>15.509493164786614</v>
      </c>
    </row>
    <row r="102" spans="1:10" ht="12.75">
      <c r="A102" s="13">
        <v>1817</v>
      </c>
      <c r="B102" s="22">
        <v>100</v>
      </c>
      <c r="C102" s="22">
        <f t="shared" si="42"/>
        <v>86.89155206356027</v>
      </c>
      <c r="D102" s="22">
        <f t="shared" si="43"/>
        <v>75.27247967397004</v>
      </c>
      <c r="E102" s="22">
        <f t="shared" si="44"/>
        <v>44.49049429405204</v>
      </c>
      <c r="F102" s="22">
        <f t="shared" si="45"/>
        <v>35.38524863781144</v>
      </c>
      <c r="G102" s="22">
        <f t="shared" si="46"/>
        <v>18.075014147958935</v>
      </c>
      <c r="H102" s="22">
        <f>C102</f>
        <v>86.89155206356027</v>
      </c>
      <c r="I102" s="22">
        <f>E102</f>
        <v>44.49049429405204</v>
      </c>
      <c r="J102" s="22">
        <f>G102-1</f>
        <v>17.075014147958935</v>
      </c>
    </row>
    <row r="103" spans="1:10" ht="12.75">
      <c r="A103" s="13">
        <v>1827</v>
      </c>
      <c r="B103" s="22">
        <v>100</v>
      </c>
      <c r="C103" s="22">
        <f t="shared" si="42"/>
        <v>91.18910091344634</v>
      </c>
      <c r="D103" s="22">
        <f t="shared" si="43"/>
        <v>77.87168265740355</v>
      </c>
      <c r="E103" s="22">
        <f t="shared" si="44"/>
        <v>45.23893256764955</v>
      </c>
      <c r="F103" s="22">
        <f t="shared" si="45"/>
        <v>34.88569238726453</v>
      </c>
      <c r="G103" s="22">
        <f t="shared" si="46"/>
        <v>16.30886739124314</v>
      </c>
      <c r="H103" s="22">
        <f>C103-2</f>
        <v>89.18910091344634</v>
      </c>
      <c r="I103" s="22">
        <f>E103</f>
        <v>45.23893256764955</v>
      </c>
      <c r="J103" s="22">
        <f>G103</f>
        <v>16.30886739124314</v>
      </c>
    </row>
    <row r="104" spans="1:10" ht="12.75">
      <c r="A104" s="13">
        <v>1837</v>
      </c>
      <c r="B104" s="22">
        <v>100</v>
      </c>
      <c r="C104" s="22">
        <f t="shared" si="42"/>
        <v>88.68509114774336</v>
      </c>
      <c r="D104" s="22">
        <f t="shared" si="43"/>
        <v>76.88002400123925</v>
      </c>
      <c r="E104" s="22">
        <f t="shared" si="44"/>
        <v>43.76680320166017</v>
      </c>
      <c r="F104" s="22">
        <f t="shared" si="45"/>
        <v>33.250618623014034</v>
      </c>
      <c r="G104" s="22">
        <f t="shared" si="46"/>
        <v>14.749861693386787</v>
      </c>
      <c r="H104" s="22">
        <f>C104</f>
        <v>88.68509114774336</v>
      </c>
      <c r="I104" s="22">
        <f>E104</f>
        <v>43.76680320166017</v>
      </c>
      <c r="J104" s="22">
        <f>G104+2</f>
        <v>16.749861693386787</v>
      </c>
    </row>
    <row r="105" spans="1:10" ht="12.75">
      <c r="A105" s="13">
        <v>1847</v>
      </c>
      <c r="B105" s="22">
        <v>100</v>
      </c>
      <c r="C105" s="22">
        <f t="shared" si="42"/>
        <v>89.98631737990016</v>
      </c>
      <c r="D105" s="22">
        <f t="shared" si="43"/>
        <v>78.9818848912638</v>
      </c>
      <c r="E105" s="22">
        <f t="shared" si="44"/>
        <v>47.876351925742895</v>
      </c>
      <c r="F105" s="22">
        <f t="shared" si="45"/>
        <v>37.402925011544156</v>
      </c>
      <c r="G105" s="22">
        <f t="shared" si="46"/>
        <v>18.432148432324514</v>
      </c>
      <c r="H105" s="22">
        <f>C105-1</f>
        <v>88.98631737990016</v>
      </c>
      <c r="I105" s="22">
        <f>E105</f>
        <v>47.876351925742895</v>
      </c>
      <c r="J105" s="22">
        <f>G105</f>
        <v>18.432148432324514</v>
      </c>
    </row>
    <row r="106" spans="1:10" ht="12.75">
      <c r="A106" s="13">
        <v>1857</v>
      </c>
      <c r="B106" s="22">
        <v>100</v>
      </c>
      <c r="C106" s="22">
        <f t="shared" si="42"/>
        <v>106.59625666749062</v>
      </c>
      <c r="D106" s="22">
        <f t="shared" si="43"/>
        <v>90.0057494812994</v>
      </c>
      <c r="E106" s="22">
        <f t="shared" si="44"/>
        <v>49.51938689372081</v>
      </c>
      <c r="F106" s="22">
        <f t="shared" si="45"/>
        <v>38.10115357773316</v>
      </c>
      <c r="G106" s="22">
        <f t="shared" si="46"/>
        <v>17.427807422052652</v>
      </c>
      <c r="H106" s="22">
        <f>C106</f>
        <v>106.59625666749062</v>
      </c>
      <c r="I106" s="22">
        <f>E106*100/C106</f>
        <v>46.45508992702092</v>
      </c>
      <c r="J106" s="22">
        <f>G106*100/C106+1</f>
        <v>17.349361569436542</v>
      </c>
    </row>
    <row r="107" spans="1:10" ht="12.75">
      <c r="A107" s="13">
        <v>1867</v>
      </c>
      <c r="B107" s="22">
        <v>100</v>
      </c>
      <c r="C107" s="22">
        <f t="shared" si="42"/>
        <v>97.72621465671862</v>
      </c>
      <c r="D107" s="22">
        <f t="shared" si="43"/>
        <v>82.61369328256833</v>
      </c>
      <c r="E107" s="22">
        <f t="shared" si="44"/>
        <v>47.957930432263495</v>
      </c>
      <c r="F107" s="22">
        <f t="shared" si="45"/>
        <v>37.12213036052796</v>
      </c>
      <c r="G107" s="22">
        <f t="shared" si="46"/>
        <v>17.42844634572286</v>
      </c>
      <c r="H107" s="22">
        <f>C107</f>
        <v>97.72621465671862</v>
      </c>
      <c r="I107" s="22">
        <f>E107*100/C107+2</f>
        <v>51.07376245025409</v>
      </c>
      <c r="J107" s="22">
        <f>G107*100/C107+2</f>
        <v>19.833952135507854</v>
      </c>
    </row>
    <row r="108" spans="1:10" ht="12.75">
      <c r="A108" s="13">
        <v>1877</v>
      </c>
      <c r="B108" s="22">
        <v>100</v>
      </c>
      <c r="C108" s="22">
        <f t="shared" si="42"/>
        <v>91.95852238690901</v>
      </c>
      <c r="D108" s="22">
        <f t="shared" si="43"/>
        <v>77.9799532511394</v>
      </c>
      <c r="E108" s="22">
        <f t="shared" si="44"/>
        <v>47.14973217071825</v>
      </c>
      <c r="F108" s="22">
        <f t="shared" si="45"/>
        <v>37.67208921938882</v>
      </c>
      <c r="G108" s="22">
        <f t="shared" si="46"/>
        <v>20.136975791632874</v>
      </c>
      <c r="H108" s="22">
        <f>C108</f>
        <v>91.95852238690901</v>
      </c>
      <c r="I108" s="22">
        <f>E108*100/C108+2</f>
        <v>53.27282490723271</v>
      </c>
      <c r="J108" s="22">
        <f>G108*100/C108+2</f>
        <v>23.897889688688085</v>
      </c>
    </row>
    <row r="109" spans="1:10" ht="12.75">
      <c r="A109" s="13">
        <v>1887</v>
      </c>
      <c r="B109" s="22">
        <v>100</v>
      </c>
      <c r="C109" s="22">
        <f t="shared" si="42"/>
        <v>91.79785328039297</v>
      </c>
      <c r="D109" s="22">
        <f t="shared" si="43"/>
        <v>79.97042049318645</v>
      </c>
      <c r="E109" s="22">
        <f t="shared" si="44"/>
        <v>48.70685615498917</v>
      </c>
      <c r="F109" s="22">
        <f t="shared" si="45"/>
        <v>38.43869035116221</v>
      </c>
      <c r="G109" s="22">
        <f t="shared" si="46"/>
        <v>19.249638832522905</v>
      </c>
      <c r="H109" s="22">
        <f>C109</f>
        <v>91.79785328039297</v>
      </c>
      <c r="I109" s="22">
        <f>E109*100/C109+2</f>
        <v>55.058818277826134</v>
      </c>
      <c r="J109" s="22">
        <f>G109*100/C109+2</f>
        <v>22.96959585070648</v>
      </c>
    </row>
    <row r="110" spans="1:10" ht="12.75">
      <c r="A110" s="13">
        <v>1902</v>
      </c>
      <c r="B110" s="22">
        <v>100</v>
      </c>
      <c r="C110" s="22">
        <f>10*C92/$B92</f>
        <v>83.94125384855192</v>
      </c>
      <c r="D110" s="22">
        <f>5*D92/$B92</f>
        <v>75.47324210499842</v>
      </c>
      <c r="E110" s="22">
        <f>1*E92/$B92</f>
        <v>51.64162641918324</v>
      </c>
      <c r="F110" s="22">
        <f>0.5*F92/$B92</f>
        <v>41.6811889205067</v>
      </c>
      <c r="G110" s="22">
        <f>0.1*G92/$B92</f>
        <v>23.11696541453175</v>
      </c>
      <c r="I110" s="22">
        <f>E110</f>
        <v>51.64162641918324</v>
      </c>
      <c r="J110" s="22">
        <f>G110</f>
        <v>23.11696541453175</v>
      </c>
    </row>
    <row r="111" ht="12.75">
      <c r="A111" s="1" t="s">
        <v>305</v>
      </c>
    </row>
    <row r="112" ht="12.75">
      <c r="A112" s="1" t="s">
        <v>306</v>
      </c>
    </row>
    <row r="114" ht="12.75">
      <c r="A114" s="1" t="s">
        <v>307</v>
      </c>
    </row>
    <row r="115" spans="2:7" ht="12.75">
      <c r="B115" t="s">
        <v>61</v>
      </c>
      <c r="C115" t="s">
        <v>51</v>
      </c>
      <c r="D115" t="s">
        <v>52</v>
      </c>
      <c r="E115" t="s">
        <v>53</v>
      </c>
      <c r="F115" t="s">
        <v>54</v>
      </c>
      <c r="G115" t="s">
        <v>55</v>
      </c>
    </row>
    <row r="116" spans="1:7" ht="12.75">
      <c r="A116" t="s">
        <v>289</v>
      </c>
      <c r="B116" s="22">
        <f>'Res1807-1913'!K55</f>
        <v>2.4595335169809664</v>
      </c>
      <c r="C116" s="22">
        <f aca="true" t="shared" si="47" ref="C116:G118">(($B$123-$B116)*C$119+($B116-$B$119)*C$123)/($B$123-$B$119)</f>
        <v>2.939925410922424</v>
      </c>
      <c r="D116" s="22">
        <f t="shared" si="47"/>
        <v>5.0576278580403855</v>
      </c>
      <c r="E116" s="22">
        <f t="shared" si="47"/>
        <v>17.524592353325158</v>
      </c>
      <c r="F116" s="22">
        <f t="shared" si="47"/>
        <v>22.040997362504257</v>
      </c>
      <c r="G116" s="22">
        <f t="shared" si="47"/>
        <v>35.63725827555383</v>
      </c>
    </row>
    <row r="117" spans="1:7" ht="12.75">
      <c r="A117" t="s">
        <v>290</v>
      </c>
      <c r="B117" s="22">
        <f>'Res1807-1913'!K56</f>
        <v>2.523494447502793</v>
      </c>
      <c r="C117" s="22">
        <f t="shared" si="47"/>
        <v>3.0120514485805954</v>
      </c>
      <c r="D117" s="22">
        <f t="shared" si="47"/>
        <v>5.138542192410417</v>
      </c>
      <c r="E117" s="22">
        <f t="shared" si="47"/>
        <v>17.668650746488893</v>
      </c>
      <c r="F117" s="22">
        <f t="shared" si="47"/>
        <v>22.22218221404039</v>
      </c>
      <c r="G117" s="22">
        <f t="shared" si="47"/>
        <v>35.93020923614855</v>
      </c>
    </row>
    <row r="118" spans="1:7" ht="12.75">
      <c r="A118" t="s">
        <v>291</v>
      </c>
      <c r="B118" s="22">
        <f>'Res1807-1913'!K57</f>
        <v>2.8422241086740208</v>
      </c>
      <c r="C118" s="22">
        <f t="shared" si="47"/>
        <v>3.3714694144678687</v>
      </c>
      <c r="D118" s="22">
        <f t="shared" si="47"/>
        <v>5.5417539369433415</v>
      </c>
      <c r="E118" s="22">
        <f t="shared" si="47"/>
        <v>18.386521522716574</v>
      </c>
      <c r="F118" s="22">
        <f t="shared" si="47"/>
        <v>23.12506129769857</v>
      </c>
      <c r="G118" s="22">
        <f t="shared" si="47"/>
        <v>37.39004041196726</v>
      </c>
    </row>
    <row r="119" spans="1:7" ht="12.75">
      <c r="A119" t="s">
        <v>292</v>
      </c>
      <c r="B119" s="22">
        <f>'Res1807-1913'!K58</f>
        <v>3.0749869963908525</v>
      </c>
      <c r="C119" s="22">
        <f>C123/C127</f>
        <v>3.6339462838304852</v>
      </c>
      <c r="D119" s="22">
        <f>D123/D127</f>
        <v>5.8362126631062825</v>
      </c>
      <c r="E119" s="22">
        <f>E123/E127</f>
        <v>18.910770424648906</v>
      </c>
      <c r="F119" s="22">
        <f>F123/F127</f>
        <v>23.784418641471174</v>
      </c>
      <c r="G119" s="22">
        <f>G123/G127</f>
        <v>38.45613046086321</v>
      </c>
    </row>
    <row r="120" spans="1:7" ht="12.75">
      <c r="A120" t="s">
        <v>293</v>
      </c>
      <c r="B120" s="22">
        <f>'Res1807-1913'!K59</f>
        <v>3.2520917620585914</v>
      </c>
      <c r="C120" s="22">
        <f>(($B$123-$B120)*C$119+($B120-$B$119)*C$123)/($B$123-$B$119)</f>
        <v>3.8336598416817713</v>
      </c>
      <c r="D120" s="22">
        <f aca="true" t="shared" si="48" ref="D120:G122">(($B$123-$B120)*D$119+($B120-$B$119)*D$123)/($B$123-$B$119)</f>
        <v>6.060260595349466</v>
      </c>
      <c r="E120" s="22">
        <f t="shared" si="48"/>
        <v>19.30966124370958</v>
      </c>
      <c r="F120" s="22">
        <f t="shared" si="48"/>
        <v>24.286110852826678</v>
      </c>
      <c r="G120" s="22">
        <f t="shared" si="48"/>
        <v>39.26729769693961</v>
      </c>
    </row>
    <row r="121" spans="1:7" ht="12.75">
      <c r="A121" t="s">
        <v>294</v>
      </c>
      <c r="B121" s="22">
        <f>'Res1807-1913'!K60</f>
        <v>3.5613539542437516</v>
      </c>
      <c r="C121" s="22">
        <f>(($B$123-$B121)*C$119+($B121-$B$119)*C$123)/($B$123-$B$119)</f>
        <v>4.18240174299266</v>
      </c>
      <c r="D121" s="22">
        <f t="shared" si="48"/>
        <v>6.451495435467045</v>
      </c>
      <c r="E121" s="22">
        <f t="shared" si="48"/>
        <v>20.006208559532087</v>
      </c>
      <c r="F121" s="22">
        <f t="shared" si="48"/>
        <v>25.162171033934985</v>
      </c>
      <c r="G121" s="22">
        <f t="shared" si="48"/>
        <v>40.68376639958538</v>
      </c>
    </row>
    <row r="122" spans="1:7" ht="12.75">
      <c r="A122" t="s">
        <v>295</v>
      </c>
      <c r="B122" s="22">
        <f>'Res1807-1913'!K61</f>
        <v>4.852737122140003</v>
      </c>
      <c r="C122" s="22">
        <f>(($B$123-$B122)*C$119+($B122-$B$119)*C$123)/($B$123-$B$119)</f>
        <v>5.6386399533956295</v>
      </c>
      <c r="D122" s="22">
        <f t="shared" si="48"/>
        <v>8.085171002637347</v>
      </c>
      <c r="E122" s="22">
        <f t="shared" si="48"/>
        <v>22.91477450139785</v>
      </c>
      <c r="F122" s="22">
        <f t="shared" si="48"/>
        <v>28.820327124576895</v>
      </c>
      <c r="G122" s="22">
        <f t="shared" si="48"/>
        <v>46.59850116727214</v>
      </c>
    </row>
    <row r="123" spans="1:7" ht="12.75">
      <c r="A123" t="s">
        <v>283</v>
      </c>
      <c r="B123" s="22">
        <f>'Res1807-1913'!K64</f>
        <v>6.496132616423429</v>
      </c>
      <c r="C123" s="22">
        <v>7.491827584358979</v>
      </c>
      <c r="D123" s="22">
        <v>10.164162840963899</v>
      </c>
      <c r="E123" s="22">
        <v>26.616173344527606</v>
      </c>
      <c r="F123" s="22">
        <v>33.47564352190922</v>
      </c>
      <c r="G123" s="22">
        <v>54.12550686840177</v>
      </c>
    </row>
    <row r="124" spans="1:7" ht="12.75">
      <c r="A124" t="s">
        <v>311</v>
      </c>
      <c r="B124" s="22">
        <f>B123/B119</f>
        <v>2.112572386175296</v>
      </c>
      <c r="C124" s="22">
        <f>C128*$B124</f>
        <v>1.6981959268747489</v>
      </c>
      <c r="D124" s="22">
        <f>D128*$B124</f>
        <v>1.4345610331667733</v>
      </c>
      <c r="E124" s="22">
        <f>E128*$B124</f>
        <v>1.1593509392299501</v>
      </c>
      <c r="F124" s="22">
        <f>F128*$B124</f>
        <v>1.1593509392299501</v>
      </c>
      <c r="G124" s="22">
        <f>G128*$B124</f>
        <v>1.1593509392299501</v>
      </c>
    </row>
    <row r="125" spans="1:7" ht="12.75">
      <c r="A125" t="s">
        <v>308</v>
      </c>
      <c r="B125" s="22">
        <v>3.7251754041175924</v>
      </c>
      <c r="C125" s="22">
        <v>10.644827465035595</v>
      </c>
      <c r="D125" s="22">
        <v>15.588749555210372</v>
      </c>
      <c r="E125" s="22">
        <v>35.0505658829904</v>
      </c>
      <c r="F125" s="22">
        <v>50.71279593454171</v>
      </c>
      <c r="G125" s="22">
        <v>72.36026041664475</v>
      </c>
    </row>
    <row r="126" spans="1:7" ht="12.75">
      <c r="A126" t="s">
        <v>309</v>
      </c>
      <c r="B126" s="22">
        <v>9.553880423254355</v>
      </c>
      <c r="C126" s="22">
        <v>21.945622143108114</v>
      </c>
      <c r="D126" s="22">
        <v>27.148871727684732</v>
      </c>
      <c r="E126" s="22">
        <v>49.33230727339752</v>
      </c>
      <c r="F126" s="22">
        <v>57.00389319980704</v>
      </c>
      <c r="G126" s="22">
        <v>75.59439085411049</v>
      </c>
    </row>
    <row r="127" spans="1:7" ht="12.75">
      <c r="A127" t="s">
        <v>310</v>
      </c>
      <c r="B127" s="22">
        <f>B126/B125</f>
        <v>2.5646793470970657</v>
      </c>
      <c r="C127" s="22">
        <f>C126/C125</f>
        <v>2.0616230948967034</v>
      </c>
      <c r="D127" s="22">
        <f>D126/D125</f>
        <v>1.7415682785544857</v>
      </c>
      <c r="E127" s="22">
        <f>E126/E125</f>
        <v>1.407461078890537</v>
      </c>
      <c r="F127" s="22">
        <f>E126/E125</f>
        <v>1.407461078890537</v>
      </c>
      <c r="G127" s="22">
        <f>E126/E125</f>
        <v>1.407461078890537</v>
      </c>
    </row>
    <row r="128" spans="1:7" ht="12.75">
      <c r="A128" t="s">
        <v>310</v>
      </c>
      <c r="B128" s="22">
        <f aca="true" t="shared" si="49" ref="B128:G128">B127/$B127</f>
        <v>1</v>
      </c>
      <c r="C128" s="22">
        <f t="shared" si="49"/>
        <v>0.8038521841844414</v>
      </c>
      <c r="D128" s="22">
        <f t="shared" si="49"/>
        <v>0.6790588774872575</v>
      </c>
      <c r="E128" s="22">
        <f t="shared" si="49"/>
        <v>0.5487863738145776</v>
      </c>
      <c r="F128" s="22">
        <f t="shared" si="49"/>
        <v>0.5487863738145776</v>
      </c>
      <c r="G128" s="22">
        <f t="shared" si="49"/>
        <v>0.5487863738145776</v>
      </c>
    </row>
    <row r="129" spans="1:7" ht="12.75">
      <c r="A129" t="s">
        <v>312</v>
      </c>
      <c r="B129" s="22"/>
      <c r="C129" s="22"/>
      <c r="D129" s="22"/>
      <c r="E129" s="22"/>
      <c r="F129" s="22"/>
      <c r="G129" s="22"/>
    </row>
    <row r="130" spans="2:7" ht="12.75">
      <c r="B130" s="22"/>
      <c r="C130" s="22"/>
      <c r="D130" s="22"/>
      <c r="E130" s="22"/>
      <c r="F130" s="22"/>
      <c r="G130" s="22"/>
    </row>
    <row r="131" spans="1:7" ht="12.75">
      <c r="A131" s="13">
        <v>1807</v>
      </c>
      <c r="B131" s="11">
        <v>472522.56</v>
      </c>
      <c r="C131" s="11">
        <f aca="true" t="shared" si="50" ref="C131:C137">0.1*$B131*C116/100</f>
        <v>1389.181081378116</v>
      </c>
      <c r="D131" s="11">
        <f aca="true" t="shared" si="51" ref="D131:D137">0.05*$B131*D116/100</f>
        <v>1194.9216315042797</v>
      </c>
      <c r="E131" s="11">
        <f aca="true" t="shared" si="52" ref="E131:E137">0.01*$B131*E116/100</f>
        <v>828.0765241749629</v>
      </c>
      <c r="F131" s="11">
        <f aca="true" t="shared" si="53" ref="F131:F137">0.005*$B131*F116/100</f>
        <v>520.7434249341879</v>
      </c>
      <c r="G131" s="11">
        <f aca="true" t="shared" si="54" ref="G131:G137">0.001*$B131*G116/100</f>
        <v>168.39408511745881</v>
      </c>
    </row>
    <row r="132" spans="1:7" ht="12.75">
      <c r="A132" s="13">
        <v>1817</v>
      </c>
      <c r="B132" s="11">
        <v>472558.995</v>
      </c>
      <c r="C132" s="11">
        <f t="shared" si="50"/>
        <v>1423.3720054295402</v>
      </c>
      <c r="D132" s="11">
        <f t="shared" si="51"/>
        <v>1214.1321671052815</v>
      </c>
      <c r="E132" s="11">
        <f t="shared" si="52"/>
        <v>834.9479839766792</v>
      </c>
      <c r="F132" s="11">
        <f t="shared" si="53"/>
        <v>525.0646046886901</v>
      </c>
      <c r="G132" s="11">
        <f t="shared" si="54"/>
        <v>169.79143566774076</v>
      </c>
    </row>
    <row r="133" spans="1:7" ht="12.75">
      <c r="A133" s="13">
        <v>1827</v>
      </c>
      <c r="B133" s="11">
        <v>497884.7359999999</v>
      </c>
      <c r="C133" s="11">
        <f t="shared" si="50"/>
        <v>1678.6031593544094</v>
      </c>
      <c r="D133" s="11">
        <f t="shared" si="51"/>
        <v>1379.5773479359982</v>
      </c>
      <c r="E133" s="11">
        <f t="shared" si="52"/>
        <v>915.4368414296057</v>
      </c>
      <c r="F133" s="11">
        <f t="shared" si="53"/>
        <v>575.6807519594233</v>
      </c>
      <c r="G133" s="11">
        <f t="shared" si="54"/>
        <v>186.15930399541648</v>
      </c>
    </row>
    <row r="134" spans="1:7" ht="12.75">
      <c r="A134" s="13">
        <v>1837</v>
      </c>
      <c r="B134" s="11">
        <v>549660.861</v>
      </c>
      <c r="C134" s="11">
        <f t="shared" si="50"/>
        <v>1997.438043198015</v>
      </c>
      <c r="D134" s="11">
        <f t="shared" si="51"/>
        <v>1603.9688386910514</v>
      </c>
      <c r="E134" s="11">
        <f t="shared" si="52"/>
        <v>1039.4510353785854</v>
      </c>
      <c r="F134" s="11">
        <f t="shared" si="53"/>
        <v>653.6682014427748</v>
      </c>
      <c r="G134" s="11">
        <f t="shared" si="54"/>
        <v>211.37829779846402</v>
      </c>
    </row>
    <row r="135" spans="1:7" ht="12.75">
      <c r="A135" s="13">
        <v>1847</v>
      </c>
      <c r="B135" s="11">
        <v>558686.5725</v>
      </c>
      <c r="C135" s="11">
        <f t="shared" si="50"/>
        <v>2141.8142770800814</v>
      </c>
      <c r="D135" s="11">
        <f t="shared" si="51"/>
        <v>1692.8931102363015</v>
      </c>
      <c r="E135" s="11">
        <f t="shared" si="52"/>
        <v>1078.8048456384195</v>
      </c>
      <c r="F135" s="11">
        <f t="shared" si="53"/>
        <v>678.4162015860395</v>
      </c>
      <c r="G135" s="11">
        <f t="shared" si="54"/>
        <v>219.38111961640334</v>
      </c>
    </row>
    <row r="136" spans="1:7" ht="12.75">
      <c r="A136" s="13">
        <v>1857</v>
      </c>
      <c r="B136" s="11">
        <v>540468.6039999999</v>
      </c>
      <c r="C136" s="11">
        <f t="shared" si="50"/>
        <v>2260.4568314024095</v>
      </c>
      <c r="D136" s="11">
        <f t="shared" si="51"/>
        <v>1743.4153658596229</v>
      </c>
      <c r="E136" s="11">
        <f t="shared" si="52"/>
        <v>1081.2727611503158</v>
      </c>
      <c r="F136" s="11">
        <f t="shared" si="53"/>
        <v>679.9681726160038</v>
      </c>
      <c r="G136" s="11">
        <f t="shared" si="54"/>
        <v>219.88298431446012</v>
      </c>
    </row>
    <row r="137" spans="1:7" ht="12.75">
      <c r="A137" s="13">
        <v>1867</v>
      </c>
      <c r="B137" s="11">
        <v>580146.818</v>
      </c>
      <c r="C137" s="11">
        <f t="shared" si="50"/>
        <v>3271.2390268101426</v>
      </c>
      <c r="D137" s="11">
        <f t="shared" si="51"/>
        <v>2345.293115082963</v>
      </c>
      <c r="E137" s="11">
        <f t="shared" si="52"/>
        <v>1329.39335121735</v>
      </c>
      <c r="F137" s="11">
        <f t="shared" si="53"/>
        <v>836.0010537521188</v>
      </c>
      <c r="G137" s="11">
        <f t="shared" si="54"/>
        <v>270.33972175762216</v>
      </c>
    </row>
    <row r="138" spans="1:7" ht="12.75">
      <c r="A138" s="13">
        <v>1902</v>
      </c>
      <c r="B138" s="11">
        <v>559810</v>
      </c>
      <c r="C138" s="11">
        <f>0.1*$B138*C$123/100</f>
        <v>4194</v>
      </c>
      <c r="D138" s="11">
        <f>0.05*$B138*D$123/100</f>
        <v>2845</v>
      </c>
      <c r="E138" s="11">
        <f>0.01*$B138*E$123/100</f>
        <v>1490</v>
      </c>
      <c r="F138" s="11">
        <f>0.005*$B138*F$123/100</f>
        <v>937.0000000000001</v>
      </c>
      <c r="G138" s="11">
        <f>0.001*$B138*G$123/100</f>
        <v>303</v>
      </c>
    </row>
    <row r="140" ht="12.75">
      <c r="A140" t="s">
        <v>285</v>
      </c>
    </row>
    <row r="142" spans="2:17" ht="12.75">
      <c r="B142" t="s">
        <v>61</v>
      </c>
      <c r="C142" t="s">
        <v>51</v>
      </c>
      <c r="D142" t="s">
        <v>52</v>
      </c>
      <c r="E142" t="s">
        <v>53</v>
      </c>
      <c r="F142" t="s">
        <v>54</v>
      </c>
      <c r="G142" t="s">
        <v>55</v>
      </c>
      <c r="H142" t="s">
        <v>11</v>
      </c>
      <c r="I142" t="s">
        <v>12</v>
      </c>
      <c r="J142" t="s">
        <v>13</v>
      </c>
      <c r="K142" t="s">
        <v>14</v>
      </c>
      <c r="L142" t="s">
        <v>15</v>
      </c>
      <c r="M142" t="s">
        <v>64</v>
      </c>
      <c r="N142" t="s">
        <v>65</v>
      </c>
      <c r="O142" t="s">
        <v>66</v>
      </c>
      <c r="P142" t="s">
        <v>67</v>
      </c>
      <c r="Q142" t="s">
        <v>55</v>
      </c>
    </row>
    <row r="143" spans="1:22" ht="12.75">
      <c r="A143" s="13">
        <v>1807</v>
      </c>
      <c r="B143" s="11">
        <f>'Res1807-1913'!H10</f>
        <v>1664.0191371721094</v>
      </c>
      <c r="C143" s="11">
        <f aca="true" t="shared" si="55" ref="C143:C149">(1*M143/1.1+1*D143)/2</f>
        <v>9171.00606060606</v>
      </c>
      <c r="D143" s="11">
        <f aca="true" t="shared" si="56" ref="D143:D149">(4*N143/1.1+1*E143)/5</f>
        <v>14544.739393939391</v>
      </c>
      <c r="E143" s="11">
        <f aca="true" t="shared" si="57" ref="E143:E149">(1*O143/1.1+1*F143)/2</f>
        <v>43810.969696969696</v>
      </c>
      <c r="F143" s="11">
        <f aca="true" t="shared" si="58" ref="F143:F149">(4*P143/1.1+1*G143)/5</f>
        <v>72030.12121212122</v>
      </c>
      <c r="G143" s="11">
        <f aca="true" t="shared" si="59" ref="G143:G149">Q143/1.2</f>
        <v>191463.33333333334</v>
      </c>
      <c r="H143" s="11">
        <v>3360</v>
      </c>
      <c r="I143" s="11">
        <v>5142</v>
      </c>
      <c r="J143" s="11">
        <v>11679</v>
      </c>
      <c r="K143" s="11">
        <v>24231</v>
      </c>
      <c r="L143" s="11">
        <v>85340</v>
      </c>
      <c r="M143" s="11">
        <v>4177</v>
      </c>
      <c r="N143" s="11">
        <v>7951</v>
      </c>
      <c r="O143" s="11">
        <v>17151</v>
      </c>
      <c r="P143" s="11">
        <v>46389</v>
      </c>
      <c r="Q143" s="11">
        <v>229756</v>
      </c>
      <c r="R143" s="61">
        <f aca="true" t="shared" si="60" ref="R143:R151">(I143-M143)/(I143-H143)</f>
        <v>0.5415263748597082</v>
      </c>
      <c r="S143" s="61">
        <f aca="true" t="shared" si="61" ref="S143:S151">(J143-N143)/(J143-I143)</f>
        <v>0.5702921829585437</v>
      </c>
      <c r="T143" s="61">
        <f aca="true" t="shared" si="62" ref="T143:T151">(K143-O143)/(K143-J143)</f>
        <v>0.5640535372848948</v>
      </c>
      <c r="U143" s="61">
        <f aca="true" t="shared" si="63" ref="U143:U151">(L143-P143)/(L143-K143)</f>
        <v>0.6374020193424864</v>
      </c>
      <c r="V143" s="61">
        <f aca="true" t="shared" si="64" ref="V143:V151">Q143/L143</f>
        <v>2.692242793531755</v>
      </c>
    </row>
    <row r="144" spans="1:22" ht="12.75">
      <c r="A144" s="13">
        <v>1817</v>
      </c>
      <c r="B144" s="11">
        <f>'Res1807-1913'!H11</f>
        <v>1540.7495436657875</v>
      </c>
      <c r="C144" s="11">
        <f t="shared" si="55"/>
        <v>7195.826515151516</v>
      </c>
      <c r="D144" s="11">
        <f t="shared" si="56"/>
        <v>12226.198484848486</v>
      </c>
      <c r="E144" s="11">
        <f t="shared" si="57"/>
        <v>40669.17424242425</v>
      </c>
      <c r="F144" s="11">
        <f t="shared" si="58"/>
        <v>68884.71212121213</v>
      </c>
      <c r="G144" s="11">
        <f t="shared" si="59"/>
        <v>197510.83333333334</v>
      </c>
      <c r="H144" s="11">
        <v>1851</v>
      </c>
      <c r="I144" s="11">
        <v>3051</v>
      </c>
      <c r="J144" s="11">
        <v>9097</v>
      </c>
      <c r="K144" s="11">
        <v>20000</v>
      </c>
      <c r="L144" s="11">
        <v>78645</v>
      </c>
      <c r="M144" s="11">
        <v>2382</v>
      </c>
      <c r="N144" s="11">
        <v>5627</v>
      </c>
      <c r="O144" s="11">
        <v>13699</v>
      </c>
      <c r="P144" s="11">
        <v>40401</v>
      </c>
      <c r="Q144" s="11">
        <v>237013</v>
      </c>
      <c r="R144" s="61">
        <f t="shared" si="60"/>
        <v>0.5575</v>
      </c>
      <c r="S144" s="61">
        <f t="shared" si="61"/>
        <v>0.5739331789612967</v>
      </c>
      <c r="T144" s="61">
        <f t="shared" si="62"/>
        <v>0.5779143355039897</v>
      </c>
      <c r="U144" s="61">
        <f t="shared" si="63"/>
        <v>0.6521272060704237</v>
      </c>
      <c r="V144" s="61">
        <f t="shared" si="64"/>
        <v>3.013707165109034</v>
      </c>
    </row>
    <row r="145" spans="1:22" ht="12.75">
      <c r="A145" s="13">
        <v>1827</v>
      </c>
      <c r="B145" s="11">
        <f>'Res1807-1913'!H12</f>
        <v>2731.5559238192836</v>
      </c>
      <c r="C145" s="11">
        <f t="shared" si="55"/>
        <v>15032.429545454544</v>
      </c>
      <c r="D145" s="11">
        <f t="shared" si="56"/>
        <v>25014.85909090909</v>
      </c>
      <c r="E145" s="11">
        <f t="shared" si="57"/>
        <v>79772.47727272726</v>
      </c>
      <c r="F145" s="11">
        <f t="shared" si="58"/>
        <v>132649.5</v>
      </c>
      <c r="G145" s="11">
        <f t="shared" si="59"/>
        <v>340967.5</v>
      </c>
      <c r="H145" s="11">
        <v>3778</v>
      </c>
      <c r="I145" s="11">
        <v>7739</v>
      </c>
      <c r="J145" s="11">
        <v>19941</v>
      </c>
      <c r="K145" s="11">
        <v>44495</v>
      </c>
      <c r="L145" s="11">
        <v>166266</v>
      </c>
      <c r="M145" s="11">
        <v>5555</v>
      </c>
      <c r="N145" s="11">
        <v>12458</v>
      </c>
      <c r="O145" s="11">
        <v>29585</v>
      </c>
      <c r="P145" s="11">
        <v>88627</v>
      </c>
      <c r="Q145" s="11">
        <v>409161</v>
      </c>
      <c r="R145" s="61">
        <f t="shared" si="60"/>
        <v>0.5513759151729362</v>
      </c>
      <c r="S145" s="61">
        <f t="shared" si="61"/>
        <v>0.6132601212915916</v>
      </c>
      <c r="T145" s="61">
        <f t="shared" si="62"/>
        <v>0.6072330373869838</v>
      </c>
      <c r="U145" s="61">
        <f t="shared" si="63"/>
        <v>0.6375820187072455</v>
      </c>
      <c r="V145" s="61">
        <f t="shared" si="64"/>
        <v>2.4608819602323986</v>
      </c>
    </row>
    <row r="146" spans="1:22" ht="12.75">
      <c r="A146" s="13">
        <v>1837</v>
      </c>
      <c r="B146" s="11">
        <f>'Res1807-1913'!H13</f>
        <v>3049.1528848367466</v>
      </c>
      <c r="C146" s="11">
        <f t="shared" si="55"/>
        <v>16939.447727272724</v>
      </c>
      <c r="D146" s="11">
        <f t="shared" si="56"/>
        <v>28771.622727272723</v>
      </c>
      <c r="E146" s="11">
        <f t="shared" si="57"/>
        <v>91014.47727272726</v>
      </c>
      <c r="F146" s="11">
        <f t="shared" si="58"/>
        <v>148248.95454545453</v>
      </c>
      <c r="G146" s="11">
        <f t="shared" si="59"/>
        <v>360997.5</v>
      </c>
      <c r="H146" s="11">
        <v>3824</v>
      </c>
      <c r="I146" s="11">
        <v>7880</v>
      </c>
      <c r="J146" s="11">
        <v>24469</v>
      </c>
      <c r="K146" s="11">
        <v>55980</v>
      </c>
      <c r="L146" s="11">
        <v>190288</v>
      </c>
      <c r="M146" s="11">
        <v>5618</v>
      </c>
      <c r="N146" s="11">
        <v>14532</v>
      </c>
      <c r="O146" s="11">
        <v>37158</v>
      </c>
      <c r="P146" s="11">
        <v>104568</v>
      </c>
      <c r="Q146" s="11">
        <v>433197</v>
      </c>
      <c r="R146" s="61">
        <f t="shared" si="60"/>
        <v>0.5576923076923077</v>
      </c>
      <c r="S146" s="61">
        <f t="shared" si="61"/>
        <v>0.5990113930918078</v>
      </c>
      <c r="T146" s="61">
        <f t="shared" si="62"/>
        <v>0.5973152232553711</v>
      </c>
      <c r="U146" s="61">
        <f t="shared" si="63"/>
        <v>0.6382345057628734</v>
      </c>
      <c r="V146" s="61">
        <f t="shared" si="64"/>
        <v>2.2765334650634825</v>
      </c>
    </row>
    <row r="147" spans="1:22" ht="12.75">
      <c r="A147" s="13">
        <v>1847</v>
      </c>
      <c r="B147" s="11">
        <f>'Res1807-1913'!H14</f>
        <v>3678.2698943422342</v>
      </c>
      <c r="C147" s="11">
        <f t="shared" si="55"/>
        <v>21530.1053030303</v>
      </c>
      <c r="D147" s="11">
        <f t="shared" si="56"/>
        <v>37274.75606060606</v>
      </c>
      <c r="E147" s="11">
        <f t="shared" si="57"/>
        <v>122442.87121212122</v>
      </c>
      <c r="F147" s="11">
        <f t="shared" si="58"/>
        <v>204073.01515151517</v>
      </c>
      <c r="G147" s="11">
        <f t="shared" si="59"/>
        <v>541874.1666666667</v>
      </c>
      <c r="H147" s="11">
        <v>3932</v>
      </c>
      <c r="I147" s="11">
        <v>9641</v>
      </c>
      <c r="J147" s="11">
        <v>29458</v>
      </c>
      <c r="K147" s="11">
        <v>68331</v>
      </c>
      <c r="L147" s="11">
        <v>250160</v>
      </c>
      <c r="M147" s="11">
        <v>6364</v>
      </c>
      <c r="N147" s="11">
        <v>17581</v>
      </c>
      <c r="O147" s="11">
        <v>44894</v>
      </c>
      <c r="P147" s="11">
        <v>131585</v>
      </c>
      <c r="Q147" s="11">
        <v>650249</v>
      </c>
      <c r="R147" s="61">
        <f t="shared" si="60"/>
        <v>0.5740059555088457</v>
      </c>
      <c r="S147" s="61">
        <f t="shared" si="61"/>
        <v>0.5993339052328809</v>
      </c>
      <c r="T147" s="61">
        <f t="shared" si="62"/>
        <v>0.6029120469220282</v>
      </c>
      <c r="U147" s="61">
        <f t="shared" si="63"/>
        <v>0.6521236986399309</v>
      </c>
      <c r="V147" s="61">
        <f t="shared" si="64"/>
        <v>2.599332427246562</v>
      </c>
    </row>
    <row r="148" spans="1:22" ht="12.75">
      <c r="A148" s="13">
        <v>1857</v>
      </c>
      <c r="B148" s="11">
        <f>'Res1807-1913'!H15</f>
        <v>4146.401813934043</v>
      </c>
      <c r="C148" s="11">
        <f t="shared" si="55"/>
        <v>32868.173484848485</v>
      </c>
      <c r="D148" s="11">
        <f t="shared" si="56"/>
        <v>54777.256060606065</v>
      </c>
      <c r="E148" s="11">
        <f t="shared" si="57"/>
        <v>166028.0984848485</v>
      </c>
      <c r="F148" s="11">
        <f t="shared" si="58"/>
        <v>267505.2878787879</v>
      </c>
      <c r="G148" s="11">
        <f t="shared" si="59"/>
        <v>659159.1666666667</v>
      </c>
      <c r="H148" s="11">
        <v>8226</v>
      </c>
      <c r="I148" s="11">
        <v>17057</v>
      </c>
      <c r="J148" s="11">
        <v>47678</v>
      </c>
      <c r="K148" s="11">
        <v>101979</v>
      </c>
      <c r="L148" s="11">
        <v>351250</v>
      </c>
      <c r="M148" s="11">
        <v>12055</v>
      </c>
      <c r="N148" s="11">
        <v>29661</v>
      </c>
      <c r="O148" s="11">
        <v>71006</v>
      </c>
      <c r="P148" s="11">
        <v>186551</v>
      </c>
      <c r="Q148" s="11">
        <v>790991</v>
      </c>
      <c r="R148" s="61">
        <f t="shared" si="60"/>
        <v>0.5664137696750084</v>
      </c>
      <c r="S148" s="61">
        <f t="shared" si="61"/>
        <v>0.5883870546357075</v>
      </c>
      <c r="T148" s="61">
        <f t="shared" si="62"/>
        <v>0.570394652032191</v>
      </c>
      <c r="U148" s="61">
        <f t="shared" si="63"/>
        <v>0.6607226672978405</v>
      </c>
      <c r="V148" s="61">
        <f t="shared" si="64"/>
        <v>2.251931672597865</v>
      </c>
    </row>
    <row r="149" spans="1:22" ht="12.75">
      <c r="A149" s="13">
        <v>1867</v>
      </c>
      <c r="B149" s="11">
        <f>'Res1807-1913'!H16</f>
        <v>5726.136724238657</v>
      </c>
      <c r="C149" s="11">
        <f t="shared" si="55"/>
        <v>50853.903787878786</v>
      </c>
      <c r="D149" s="11">
        <f t="shared" si="56"/>
        <v>84113.26212121212</v>
      </c>
      <c r="E149" s="11">
        <f t="shared" si="57"/>
        <v>246191.76515151514</v>
      </c>
      <c r="F149" s="11">
        <f t="shared" si="58"/>
        <v>387810.80303030304</v>
      </c>
      <c r="G149" s="11">
        <f t="shared" si="59"/>
        <v>936275.8333333334</v>
      </c>
      <c r="H149" s="11">
        <v>12626</v>
      </c>
      <c r="I149" s="11">
        <v>28200</v>
      </c>
      <c r="J149" s="11">
        <v>80395</v>
      </c>
      <c r="K149" s="11">
        <v>160000</v>
      </c>
      <c r="L149" s="11">
        <v>504000</v>
      </c>
      <c r="M149" s="11">
        <v>19354</v>
      </c>
      <c r="N149" s="11">
        <v>47953</v>
      </c>
      <c r="O149" s="11">
        <v>115030</v>
      </c>
      <c r="P149" s="11">
        <v>275764</v>
      </c>
      <c r="Q149" s="11">
        <v>1123531</v>
      </c>
      <c r="R149" s="61">
        <f t="shared" si="60"/>
        <v>0.5679979452934378</v>
      </c>
      <c r="S149" s="61">
        <f t="shared" si="61"/>
        <v>0.6215537886770763</v>
      </c>
      <c r="T149" s="61">
        <f t="shared" si="62"/>
        <v>0.5649142641793857</v>
      </c>
      <c r="U149" s="61">
        <f t="shared" si="63"/>
        <v>0.6634767441860465</v>
      </c>
      <c r="V149" s="61">
        <f t="shared" si="64"/>
        <v>2.2292281746031746</v>
      </c>
    </row>
    <row r="150" spans="1:22" ht="12.75">
      <c r="A150" s="13" t="s">
        <v>123</v>
      </c>
      <c r="B150" s="11">
        <f>'Res1807-1913'!H20</f>
        <v>8524.545828048802</v>
      </c>
      <c r="C150" s="11">
        <v>294534</v>
      </c>
      <c r="D150" s="11">
        <v>426106</v>
      </c>
      <c r="E150" s="11">
        <v>759092</v>
      </c>
      <c r="F150" s="11">
        <v>1108350</v>
      </c>
      <c r="G150" s="11">
        <v>2504525</v>
      </c>
      <c r="H150" s="11">
        <v>9536</v>
      </c>
      <c r="I150" s="11">
        <v>28872</v>
      </c>
      <c r="J150" s="11">
        <v>115699</v>
      </c>
      <c r="K150" s="11">
        <v>237575</v>
      </c>
      <c r="L150" s="11">
        <v>833667</v>
      </c>
      <c r="M150" s="11">
        <v>17142</v>
      </c>
      <c r="N150" s="11">
        <v>60147</v>
      </c>
      <c r="O150" s="11">
        <v>167819</v>
      </c>
      <c r="P150" s="11">
        <v>442679</v>
      </c>
      <c r="Q150" s="11">
        <v>2504525</v>
      </c>
      <c r="R150" s="61">
        <f t="shared" si="60"/>
        <v>0.6066404633843607</v>
      </c>
      <c r="S150" s="61">
        <f t="shared" si="61"/>
        <v>0.6398009835650201</v>
      </c>
      <c r="T150" s="61">
        <f t="shared" si="62"/>
        <v>0.5723522268535233</v>
      </c>
      <c r="U150" s="61">
        <f t="shared" si="63"/>
        <v>0.6559188850043282</v>
      </c>
      <c r="V150" s="61">
        <f t="shared" si="64"/>
        <v>3.0042271074661704</v>
      </c>
    </row>
    <row r="151" spans="1:22" ht="12.75">
      <c r="A151" t="s">
        <v>284</v>
      </c>
      <c r="B151" s="11">
        <f>B150</f>
        <v>8524.545828048802</v>
      </c>
      <c r="C151" s="11">
        <v>71556.10660455885</v>
      </c>
      <c r="D151" s="11">
        <v>128675.02235791567</v>
      </c>
      <c r="E151" s="11">
        <v>440221.41150654573</v>
      </c>
      <c r="F151" s="11">
        <v>710626.4109853982</v>
      </c>
      <c r="G151" s="11">
        <v>1970616.312880666</v>
      </c>
      <c r="H151" s="11">
        <v>9533.182931326139</v>
      </c>
      <c r="I151" s="11">
        <v>28853.23417746722</v>
      </c>
      <c r="J151" s="11">
        <v>115608.891952939</v>
      </c>
      <c r="K151" s="11">
        <v>235831.66302222369</v>
      </c>
      <c r="L151" s="11">
        <v>833103.3410131572</v>
      </c>
      <c r="M151" s="11">
        <f>(10*C151-5*D151)/5</f>
        <v>14437.190851202049</v>
      </c>
      <c r="N151" s="11">
        <f>(5*D151-1*E151)/4</f>
        <v>50788.42507075815</v>
      </c>
      <c r="O151" s="11">
        <f>(10*E151-5*F151)/5</f>
        <v>169816.41202769327</v>
      </c>
      <c r="P151" s="11">
        <f>(5*F151-1*G151)/4</f>
        <v>395628.93551158125</v>
      </c>
      <c r="Q151" s="11">
        <f>G151</f>
        <v>1970616.312880666</v>
      </c>
      <c r="R151" s="61">
        <f t="shared" si="60"/>
        <v>0.746170035607156</v>
      </c>
      <c r="S151" s="61">
        <f t="shared" si="61"/>
        <v>0.7471612635332631</v>
      </c>
      <c r="T151" s="61">
        <f t="shared" si="62"/>
        <v>0.549107714016055</v>
      </c>
      <c r="U151" s="61">
        <f t="shared" si="63"/>
        <v>0.7324546293122856</v>
      </c>
      <c r="V151" s="61">
        <f t="shared" si="64"/>
        <v>2.365392401960784</v>
      </c>
    </row>
    <row r="152" spans="1:22" ht="12.75">
      <c r="A152" t="s">
        <v>130</v>
      </c>
      <c r="B152" s="61">
        <f aca="true" t="shared" si="65" ref="B152:Q152">B150/B151</f>
        <v>1</v>
      </c>
      <c r="C152" s="61">
        <f t="shared" si="65"/>
        <v>4.116126686820538</v>
      </c>
      <c r="D152" s="61">
        <f t="shared" si="65"/>
        <v>3.3114896130716494</v>
      </c>
      <c r="E152" s="61">
        <f t="shared" si="65"/>
        <v>1.724341388580353</v>
      </c>
      <c r="F152" s="61">
        <f t="shared" si="65"/>
        <v>1.5596802804769019</v>
      </c>
      <c r="G152" s="61">
        <f t="shared" si="65"/>
        <v>1.2709348763782744</v>
      </c>
      <c r="H152" s="61">
        <f t="shared" si="65"/>
        <v>1.0002955013759995</v>
      </c>
      <c r="I152" s="61">
        <f t="shared" si="65"/>
        <v>1.000650388875554</v>
      </c>
      <c r="J152" s="61">
        <f t="shared" si="65"/>
        <v>1.000779421422858</v>
      </c>
      <c r="K152" s="61">
        <f t="shared" si="65"/>
        <v>1.0073922939584752</v>
      </c>
      <c r="L152" s="61">
        <f t="shared" si="65"/>
        <v>1.00067657751337</v>
      </c>
      <c r="M152" s="61">
        <f t="shared" si="65"/>
        <v>1.1873500999380877</v>
      </c>
      <c r="N152" s="61">
        <f t="shared" si="65"/>
        <v>1.1842659014569468</v>
      </c>
      <c r="O152" s="61">
        <f t="shared" si="65"/>
        <v>0.9882378151567145</v>
      </c>
      <c r="P152" s="61">
        <f t="shared" si="65"/>
        <v>1.118924730385504</v>
      </c>
      <c r="Q152" s="61">
        <f t="shared" si="65"/>
        <v>1.2709348763782744</v>
      </c>
      <c r="R152" s="61"/>
      <c r="S152" s="61"/>
      <c r="T152" s="61"/>
      <c r="U152" s="61"/>
      <c r="V152" s="61"/>
    </row>
    <row r="153" spans="1:22" ht="12.75">
      <c r="A153" s="27" t="s">
        <v>286</v>
      </c>
      <c r="B153" s="11">
        <f>B150</f>
        <v>8524.545828048802</v>
      </c>
      <c r="C153" s="11">
        <f>(1*M153/1.1+1*D153)/2</f>
        <v>74260.05075757575</v>
      </c>
      <c r="D153" s="11">
        <f>(4*N153/1.1+1*E153)/5</f>
        <v>132936.46515151515</v>
      </c>
      <c r="E153" s="11">
        <f>(1*O153/1.1+1*F153)/2</f>
        <v>445965.96212121216</v>
      </c>
      <c r="F153" s="11">
        <f>(4*P153/1.1+1*G153)/5</f>
        <v>739369.196969697</v>
      </c>
      <c r="G153" s="11">
        <f>Q153/1.2</f>
        <v>2087104.1666666667</v>
      </c>
      <c r="H153" s="11">
        <v>9536</v>
      </c>
      <c r="I153" s="11">
        <v>28872</v>
      </c>
      <c r="J153" s="11">
        <v>115699</v>
      </c>
      <c r="K153" s="11">
        <v>237575</v>
      </c>
      <c r="L153" s="11">
        <v>833667</v>
      </c>
      <c r="M153" s="11">
        <v>17142</v>
      </c>
      <c r="N153" s="11">
        <v>60147</v>
      </c>
      <c r="O153" s="11">
        <v>167819</v>
      </c>
      <c r="P153" s="11">
        <v>442679</v>
      </c>
      <c r="Q153" s="11">
        <v>2504525</v>
      </c>
      <c r="R153" s="61">
        <f>(I153-M153)/(I153-H153)</f>
        <v>0.6066404633843607</v>
      </c>
      <c r="S153" s="61">
        <f>(J153-N153)/(J153-I153)</f>
        <v>0.6398009835650201</v>
      </c>
      <c r="T153" s="61">
        <f>(K153-O153)/(K153-J153)</f>
        <v>0.5723522268535233</v>
      </c>
      <c r="U153" s="61">
        <f>(L153-P153)/(L153-K153)</f>
        <v>0.6559188850043282</v>
      </c>
      <c r="V153" s="61">
        <f>Q153/L153</f>
        <v>3.0042271074661704</v>
      </c>
    </row>
    <row r="154" spans="1:12" ht="12.75">
      <c r="A154" s="13" t="s">
        <v>130</v>
      </c>
      <c r="B154" s="61">
        <f aca="true" t="shared" si="66" ref="B154:L154">B153/B151</f>
        <v>1</v>
      </c>
      <c r="C154" s="61">
        <f t="shared" si="66"/>
        <v>1.0377877484022395</v>
      </c>
      <c r="D154" s="61">
        <f t="shared" si="66"/>
        <v>1.0331178710173141</v>
      </c>
      <c r="E154" s="61">
        <f t="shared" si="66"/>
        <v>1.013049230374795</v>
      </c>
      <c r="F154" s="61">
        <f t="shared" si="66"/>
        <v>1.0404471119282526</v>
      </c>
      <c r="G154" s="61">
        <f t="shared" si="66"/>
        <v>1.0591123969818954</v>
      </c>
      <c r="H154" s="61">
        <f t="shared" si="66"/>
        <v>1.0002955013759995</v>
      </c>
      <c r="I154" s="61">
        <f t="shared" si="66"/>
        <v>1.000650388875554</v>
      </c>
      <c r="J154" s="61">
        <f t="shared" si="66"/>
        <v>1.000779421422858</v>
      </c>
      <c r="K154" s="61">
        <f t="shared" si="66"/>
        <v>1.0073922939584752</v>
      </c>
      <c r="L154" s="61">
        <f t="shared" si="66"/>
        <v>1.00067657751337</v>
      </c>
    </row>
    <row r="155" spans="1:12" ht="12.75">
      <c r="A155" s="27" t="s">
        <v>303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</row>
    <row r="156" spans="1:12" ht="12.75">
      <c r="A156" s="27" t="s">
        <v>298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</row>
    <row r="157" ht="12.75">
      <c r="A157" s="27" t="s">
        <v>299</v>
      </c>
    </row>
    <row r="158" spans="1:7" ht="12.75">
      <c r="A158" t="s">
        <v>288</v>
      </c>
      <c r="B158" t="s">
        <v>61</v>
      </c>
      <c r="C158" t="s">
        <v>51</v>
      </c>
      <c r="D158" t="s">
        <v>52</v>
      </c>
      <c r="E158" t="s">
        <v>53</v>
      </c>
      <c r="F158" t="s">
        <v>54</v>
      </c>
      <c r="G158" t="s">
        <v>55</v>
      </c>
    </row>
    <row r="159" spans="1:7" ht="12.75">
      <c r="A159" s="13">
        <v>1807</v>
      </c>
      <c r="B159" s="22">
        <v>100</v>
      </c>
      <c r="C159" s="22">
        <f aca="true" t="shared" si="67" ref="C159:C165">10*C143/$B143</f>
        <v>55.113585269166904</v>
      </c>
      <c r="D159" s="22">
        <f aca="true" t="shared" si="68" ref="D159:D165">5*D143/$B143</f>
        <v>43.70364219085009</v>
      </c>
      <c r="E159" s="22">
        <f aca="true" t="shared" si="69" ref="E159:E165">1*E143/$B143</f>
        <v>26.32840495538023</v>
      </c>
      <c r="F159" s="22">
        <f aca="true" t="shared" si="70" ref="F159:F165">0.5*F143/$B143</f>
        <v>21.643417315059143</v>
      </c>
      <c r="G159" s="22">
        <f aca="true" t="shared" si="71" ref="G159:G165">0.1*G143/$B143</f>
        <v>11.50607760790015</v>
      </c>
    </row>
    <row r="160" spans="1:7" ht="12.75">
      <c r="A160" s="13">
        <v>1817</v>
      </c>
      <c r="B160" s="22">
        <v>100</v>
      </c>
      <c r="C160" s="22">
        <f t="shared" si="67"/>
        <v>46.70341487190083</v>
      </c>
      <c r="D160" s="22">
        <f t="shared" si="68"/>
        <v>39.67613858823423</v>
      </c>
      <c r="E160" s="22">
        <f t="shared" si="69"/>
        <v>26.395707472132813</v>
      </c>
      <c r="F160" s="22">
        <f t="shared" si="70"/>
        <v>22.354286069532105</v>
      </c>
      <c r="G160" s="22">
        <f t="shared" si="71"/>
        <v>12.8191394990396</v>
      </c>
    </row>
    <row r="161" spans="1:7" ht="12.75">
      <c r="A161" s="13">
        <v>1827</v>
      </c>
      <c r="B161" s="22">
        <v>100</v>
      </c>
      <c r="C161" s="22">
        <f t="shared" si="67"/>
        <v>55.03247952703849</v>
      </c>
      <c r="D161" s="22">
        <f t="shared" si="68"/>
        <v>45.78866365645026</v>
      </c>
      <c r="E161" s="22">
        <f t="shared" si="69"/>
        <v>29.204043225733685</v>
      </c>
      <c r="F161" s="22">
        <f t="shared" si="70"/>
        <v>24.280941650011762</v>
      </c>
      <c r="G161" s="22">
        <f t="shared" si="71"/>
        <v>12.48253777368235</v>
      </c>
    </row>
    <row r="162" spans="1:7" ht="12.75">
      <c r="A162" s="13">
        <v>1837</v>
      </c>
      <c r="B162" s="22">
        <v>100</v>
      </c>
      <c r="C162" s="22">
        <f t="shared" si="67"/>
        <v>55.55460276036526</v>
      </c>
      <c r="D162" s="22">
        <f t="shared" si="68"/>
        <v>47.17969845059634</v>
      </c>
      <c r="E162" s="22">
        <f t="shared" si="69"/>
        <v>29.849102590210144</v>
      </c>
      <c r="F162" s="22">
        <f t="shared" si="70"/>
        <v>24.309859187889142</v>
      </c>
      <c r="G162" s="22">
        <f t="shared" si="71"/>
        <v>11.8392718776162</v>
      </c>
    </row>
    <row r="163" spans="1:7" ht="12.75">
      <c r="A163" s="13">
        <v>1847</v>
      </c>
      <c r="B163" s="22">
        <v>100</v>
      </c>
      <c r="C163" s="22">
        <f t="shared" si="67"/>
        <v>58.533239597635394</v>
      </c>
      <c r="D163" s="22">
        <f t="shared" si="68"/>
        <v>50.66887032669975</v>
      </c>
      <c r="E163" s="22">
        <f t="shared" si="69"/>
        <v>33.28816936474887</v>
      </c>
      <c r="F163" s="22">
        <f t="shared" si="70"/>
        <v>27.74035361915829</v>
      </c>
      <c r="G163" s="22">
        <f t="shared" si="71"/>
        <v>14.731767440452254</v>
      </c>
    </row>
    <row r="164" spans="1:7" ht="12.75">
      <c r="A164" s="13">
        <v>1857</v>
      </c>
      <c r="B164" s="22">
        <v>100</v>
      </c>
      <c r="C164" s="22">
        <f t="shared" si="67"/>
        <v>79.2691469852114</v>
      </c>
      <c r="D164" s="22">
        <f t="shared" si="68"/>
        <v>66.05396500228983</v>
      </c>
      <c r="E164" s="22">
        <f t="shared" si="69"/>
        <v>40.04148800217786</v>
      </c>
      <c r="F164" s="22">
        <f t="shared" si="70"/>
        <v>32.257521084887685</v>
      </c>
      <c r="G164" s="22">
        <f t="shared" si="71"/>
        <v>15.89713675243805</v>
      </c>
    </row>
    <row r="165" spans="1:7" ht="12.75">
      <c r="A165" s="13">
        <v>1867</v>
      </c>
      <c r="B165" s="22">
        <v>100</v>
      </c>
      <c r="C165" s="22">
        <f t="shared" si="67"/>
        <v>88.81014589228182</v>
      </c>
      <c r="D165" s="22">
        <f t="shared" si="68"/>
        <v>73.44678111261459</v>
      </c>
      <c r="E165" s="22">
        <f t="shared" si="69"/>
        <v>42.99439168285815</v>
      </c>
      <c r="F165" s="22">
        <f t="shared" si="70"/>
        <v>33.863215437094375</v>
      </c>
      <c r="G165" s="22">
        <f t="shared" si="71"/>
        <v>16.350916480392286</v>
      </c>
    </row>
    <row r="166" spans="1:7" ht="12.75">
      <c r="A166" s="13">
        <v>1902</v>
      </c>
      <c r="B166" s="22">
        <v>100</v>
      </c>
      <c r="C166" s="22">
        <f>10*C151/$B151</f>
        <v>83.94125393650145</v>
      </c>
      <c r="D166" s="22">
        <f>5*D151/$B151</f>
        <v>75.47324218407559</v>
      </c>
      <c r="E166" s="22">
        <f>1*E151/$B151</f>
        <v>51.641626473290806</v>
      </c>
      <c r="F166" s="22">
        <f>0.5*F151/$B151</f>
        <v>41.68118896417821</v>
      </c>
      <c r="G166" s="22">
        <f>0.1*G151/$B151</f>
        <v>23.116965438752576</v>
      </c>
    </row>
    <row r="167" ht="12.75">
      <c r="A167" s="1" t="s">
        <v>313</v>
      </c>
    </row>
    <row r="168" ht="12.75">
      <c r="A168" s="1" t="s">
        <v>314</v>
      </c>
    </row>
    <row r="169" ht="12.75">
      <c r="A169" s="1"/>
    </row>
    <row r="170" ht="12.75">
      <c r="A170" s="1" t="s">
        <v>318</v>
      </c>
    </row>
    <row r="171" ht="12.75">
      <c r="A171" s="1" t="s">
        <v>316</v>
      </c>
    </row>
    <row r="172" ht="12.75">
      <c r="A172" s="1" t="s">
        <v>317</v>
      </c>
    </row>
    <row r="173" spans="2:7" ht="12.75">
      <c r="B173" s="4"/>
      <c r="C173" s="4"/>
      <c r="D173" s="4"/>
      <c r="E173" s="4"/>
      <c r="F173" s="4"/>
      <c r="G173" s="2"/>
    </row>
    <row r="174" spans="1:7" ht="12.75">
      <c r="A174" s="1" t="s">
        <v>502</v>
      </c>
      <c r="B174" s="4"/>
      <c r="C174" s="4"/>
      <c r="D174" s="4"/>
      <c r="E174" s="4"/>
      <c r="F174" s="4"/>
      <c r="G174" s="2"/>
    </row>
    <row r="175" spans="2:7" ht="12.75">
      <c r="B175" s="4"/>
      <c r="C175" s="4"/>
      <c r="D175" s="4"/>
      <c r="E175" s="4"/>
      <c r="F175" s="4"/>
      <c r="G175" s="2"/>
    </row>
    <row r="176" spans="2:7" ht="12.75">
      <c r="B176" s="4"/>
      <c r="C176" s="4"/>
      <c r="D176" s="4"/>
      <c r="E176" s="4"/>
      <c r="F176" s="4"/>
      <c r="G176" s="2"/>
    </row>
    <row r="177" spans="2:7" ht="12.75">
      <c r="B177" s="4"/>
      <c r="C177" s="4"/>
      <c r="D177" s="4"/>
      <c r="E177" s="4"/>
      <c r="F177" s="4"/>
      <c r="G177" s="2"/>
    </row>
    <row r="178" spans="2:7" ht="12.75">
      <c r="B178" s="4"/>
      <c r="C178" s="4"/>
      <c r="D178" s="4"/>
      <c r="E178" s="4"/>
      <c r="F178" s="4"/>
      <c r="G178" s="2"/>
    </row>
    <row r="179" spans="2:7" ht="12.75">
      <c r="B179" s="4"/>
      <c r="C179" s="4"/>
      <c r="D179" s="4"/>
      <c r="E179" s="4"/>
      <c r="F179" s="4"/>
      <c r="G179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280</v>
      </c>
      <c r="B1" s="1" t="s">
        <v>351</v>
      </c>
    </row>
    <row r="4" ht="12.75">
      <c r="A4" s="9" t="s">
        <v>352</v>
      </c>
    </row>
    <row r="6" spans="2:8" ht="12.75">
      <c r="B6" t="s">
        <v>346</v>
      </c>
      <c r="C6" t="s">
        <v>347</v>
      </c>
      <c r="D6" t="s">
        <v>344</v>
      </c>
      <c r="E6" t="s">
        <v>345</v>
      </c>
      <c r="F6" t="s">
        <v>348</v>
      </c>
      <c r="G6" t="s">
        <v>349</v>
      </c>
      <c r="H6" t="s">
        <v>310</v>
      </c>
    </row>
    <row r="7" spans="1:8" ht="12.75">
      <c r="A7" s="13">
        <v>1807</v>
      </c>
      <c r="B7" s="11">
        <f>'Res1807-1913'!C55</f>
        <v>11621.850738496496</v>
      </c>
      <c r="C7" s="11">
        <f>'Res1807-1913'!H55</f>
        <v>5629.76</v>
      </c>
      <c r="D7" s="11">
        <v>83</v>
      </c>
      <c r="E7" s="11">
        <v>93078</v>
      </c>
      <c r="F7" s="22">
        <f>100*D7/B7</f>
        <v>0.714171966819956</v>
      </c>
      <c r="G7" s="22">
        <f>100*(D7*E7)/(B7*C7)</f>
        <v>11.807554554309217</v>
      </c>
      <c r="H7" s="22">
        <f>E7/C7</f>
        <v>16.533209230944124</v>
      </c>
    </row>
    <row r="8" spans="1:8" ht="12.75">
      <c r="A8" s="13">
        <v>1817</v>
      </c>
      <c r="B8" s="11">
        <f>'Res1807-1913'!C56</f>
        <v>11925</v>
      </c>
      <c r="C8" s="11">
        <f>'Res1807-1913'!H56</f>
        <v>5204.577</v>
      </c>
      <c r="D8" s="11">
        <v>50</v>
      </c>
      <c r="E8" s="11">
        <v>156369</v>
      </c>
      <c r="F8" s="22">
        <f aca="true" t="shared" si="0" ref="F8:F16">100*D8/B8</f>
        <v>0.4192872117400419</v>
      </c>
      <c r="G8" s="22">
        <f aca="true" t="shared" si="1" ref="G8:G16">100*(D8*E8)/(B8*C8)</f>
        <v>12.59728158745247</v>
      </c>
      <c r="H8" s="22">
        <f aca="true" t="shared" si="2" ref="H8:H16">E8/C8</f>
        <v>30.044516586074142</v>
      </c>
    </row>
    <row r="9" spans="1:8" ht="12.75">
      <c r="A9" s="13">
        <v>1827</v>
      </c>
      <c r="B9" s="11">
        <f>'Res1807-1913'!C57</f>
        <v>14151</v>
      </c>
      <c r="C9" s="11">
        <f>'Res1807-1913'!H57</f>
        <v>9155.872</v>
      </c>
      <c r="D9" s="11">
        <v>76</v>
      </c>
      <c r="E9" s="11">
        <v>283707</v>
      </c>
      <c r="F9" s="22">
        <f t="shared" si="0"/>
        <v>0.537064518408593</v>
      </c>
      <c r="G9" s="22">
        <f t="shared" si="1"/>
        <v>16.64166595209574</v>
      </c>
      <c r="H9" s="22">
        <f t="shared" si="2"/>
        <v>30.98634406422458</v>
      </c>
    </row>
    <row r="10" spans="1:8" ht="12.75">
      <c r="A10" s="13">
        <v>1837</v>
      </c>
      <c r="B10" s="11">
        <f>'Res1807-1913'!C58</f>
        <v>16902</v>
      </c>
      <c r="C10" s="11">
        <f>'Res1807-1913'!H58</f>
        <v>9718</v>
      </c>
      <c r="D10" s="11">
        <v>111</v>
      </c>
      <c r="E10" s="11">
        <v>262873</v>
      </c>
      <c r="F10" s="22">
        <f t="shared" si="0"/>
        <v>0.6567270145544906</v>
      </c>
      <c r="G10" s="22">
        <f t="shared" si="1"/>
        <v>17.764540079952933</v>
      </c>
      <c r="H10" s="22">
        <f t="shared" si="2"/>
        <v>27.050113192014816</v>
      </c>
    </row>
    <row r="11" spans="1:8" ht="12.75">
      <c r="A11" s="13">
        <v>1847</v>
      </c>
      <c r="B11" s="11">
        <f>'Res1807-1913'!C59</f>
        <v>18169</v>
      </c>
      <c r="C11" s="11">
        <f>'Res1807-1913'!H59</f>
        <v>13001</v>
      </c>
      <c r="D11" s="11">
        <v>150</v>
      </c>
      <c r="E11" s="11">
        <v>422403</v>
      </c>
      <c r="F11" s="22">
        <f t="shared" si="0"/>
        <v>0.8255820353349111</v>
      </c>
      <c r="G11" s="22">
        <f t="shared" si="1"/>
        <v>26.823192713758363</v>
      </c>
      <c r="H11" s="22">
        <f t="shared" si="2"/>
        <v>32.49003922775171</v>
      </c>
    </row>
    <row r="12" spans="1:8" ht="12.75">
      <c r="A12" s="13">
        <v>1857</v>
      </c>
      <c r="B12" s="11">
        <f>'Res1807-1913'!C60</f>
        <v>19248</v>
      </c>
      <c r="C12" s="11">
        <f>'Res1807-1913'!H60</f>
        <v>16619</v>
      </c>
      <c r="D12" s="11">
        <v>108</v>
      </c>
      <c r="E12" s="11">
        <v>354628</v>
      </c>
      <c r="F12" s="22">
        <f t="shared" si="0"/>
        <v>0.5610972568578554</v>
      </c>
      <c r="G12" s="22">
        <f t="shared" si="1"/>
        <v>11.9730909203314</v>
      </c>
      <c r="H12" s="22">
        <f t="shared" si="2"/>
        <v>21.338708706901738</v>
      </c>
    </row>
    <row r="13" spans="1:8" ht="12.75">
      <c r="A13" s="13">
        <v>1867</v>
      </c>
      <c r="B13" s="11">
        <f>'Res1807-1913'!C61</f>
        <v>28153</v>
      </c>
      <c r="C13" s="11">
        <f>'Res1807-1913'!H61</f>
        <v>20622</v>
      </c>
      <c r="D13" s="11">
        <v>160</v>
      </c>
      <c r="E13" s="11">
        <v>513374</v>
      </c>
      <c r="F13" s="22">
        <f t="shared" si="0"/>
        <v>0.5683230916776187</v>
      </c>
      <c r="G13" s="22">
        <f t="shared" si="1"/>
        <v>14.148108760881867</v>
      </c>
      <c r="H13" s="22">
        <f t="shared" si="2"/>
        <v>24.8944816215692</v>
      </c>
    </row>
    <row r="14" spans="1:8" ht="12.75">
      <c r="A14" s="13">
        <v>1877</v>
      </c>
      <c r="B14" s="11">
        <f>'Res1807-1913'!C62</f>
        <v>28777</v>
      </c>
      <c r="C14" s="11">
        <f>'Res1807-1913'!H62</f>
        <v>28708</v>
      </c>
      <c r="D14" s="11">
        <v>152</v>
      </c>
      <c r="E14" s="11">
        <v>581992</v>
      </c>
      <c r="F14" s="22">
        <f t="shared" si="0"/>
        <v>0.5281996038502971</v>
      </c>
      <c r="G14" s="22">
        <f t="shared" si="1"/>
        <v>10.708093348336426</v>
      </c>
      <c r="H14" s="22">
        <f t="shared" si="2"/>
        <v>20.272815939807717</v>
      </c>
    </row>
    <row r="15" spans="1:8" ht="12.75">
      <c r="A15" s="13">
        <v>1887</v>
      </c>
      <c r="B15" s="11">
        <f>'Res1807-1913'!C63</f>
        <v>34411</v>
      </c>
      <c r="C15" s="11">
        <f>'Res1807-1913'!H63</f>
        <v>31532</v>
      </c>
      <c r="D15" s="11">
        <v>166</v>
      </c>
      <c r="E15" s="11">
        <v>697720</v>
      </c>
      <c r="F15" s="22">
        <f t="shared" si="0"/>
        <v>0.4824038824794397</v>
      </c>
      <c r="G15" s="22">
        <f t="shared" si="1"/>
        <v>10.674325665468562</v>
      </c>
      <c r="H15" s="22">
        <f t="shared" si="2"/>
        <v>22.12736267918305</v>
      </c>
    </row>
    <row r="16" spans="1:8" ht="12.75">
      <c r="A16" s="13">
        <v>1902</v>
      </c>
      <c r="B16" s="11">
        <f>'Res1807-1913'!C64</f>
        <v>36366</v>
      </c>
      <c r="C16" s="11">
        <f>'Res1807-1913'!H64</f>
        <v>37665</v>
      </c>
      <c r="D16" s="11">
        <v>115</v>
      </c>
      <c r="E16" s="11">
        <v>1506154</v>
      </c>
      <c r="F16" s="22">
        <f t="shared" si="0"/>
        <v>0.3162294450860694</v>
      </c>
      <c r="G16" s="22">
        <f t="shared" si="1"/>
        <v>12.64543325724582</v>
      </c>
      <c r="H16" s="22">
        <f t="shared" si="2"/>
        <v>39.98815876808708</v>
      </c>
    </row>
    <row r="18" spans="1:8" ht="12.75">
      <c r="A18" s="25" t="s">
        <v>343</v>
      </c>
      <c r="B18" s="13" t="s">
        <v>61</v>
      </c>
      <c r="C18" s="13" t="s">
        <v>50</v>
      </c>
      <c r="D18" s="13" t="s">
        <v>51</v>
      </c>
      <c r="E18" s="13" t="s">
        <v>52</v>
      </c>
      <c r="F18" s="13" t="s">
        <v>53</v>
      </c>
      <c r="G18" s="13" t="s">
        <v>54</v>
      </c>
      <c r="H18" s="13" t="s">
        <v>55</v>
      </c>
    </row>
    <row r="19" spans="1:8" ht="12.75">
      <c r="A19" s="13">
        <v>1807</v>
      </c>
      <c r="B19" s="22">
        <v>0.71</v>
      </c>
      <c r="C19" s="22">
        <v>3.57</v>
      </c>
      <c r="D19" s="22">
        <v>7.14</v>
      </c>
      <c r="E19" s="22">
        <v>10.7</v>
      </c>
      <c r="F19" s="22">
        <v>19.7</v>
      </c>
      <c r="G19" s="22">
        <v>15.3</v>
      </c>
      <c r="H19" s="22">
        <v>25</v>
      </c>
    </row>
    <row r="20" spans="1:8" ht="12.75">
      <c r="A20" s="13">
        <v>1817</v>
      </c>
      <c r="B20" s="22">
        <v>0.42</v>
      </c>
      <c r="C20" s="22">
        <v>2.1</v>
      </c>
      <c r="D20" s="22">
        <v>4.19</v>
      </c>
      <c r="E20" s="22">
        <v>8.38</v>
      </c>
      <c r="F20" s="22">
        <v>10.83</v>
      </c>
      <c r="G20" s="22">
        <v>16.67</v>
      </c>
      <c r="H20" s="22">
        <v>33.33</v>
      </c>
    </row>
    <row r="21" spans="1:8" ht="12.75">
      <c r="A21" s="13">
        <v>1827</v>
      </c>
      <c r="B21" s="22">
        <v>0.54</v>
      </c>
      <c r="C21" s="22">
        <v>2.68</v>
      </c>
      <c r="D21" s="22">
        <v>5.37</v>
      </c>
      <c r="E21" s="22">
        <v>10.59</v>
      </c>
      <c r="F21" s="22">
        <v>18.31</v>
      </c>
      <c r="G21" s="22">
        <v>28.17</v>
      </c>
      <c r="H21" s="22">
        <v>40</v>
      </c>
    </row>
    <row r="22" spans="1:8" ht="12.75">
      <c r="A22" s="13">
        <v>1837</v>
      </c>
      <c r="B22" s="22">
        <v>0.66</v>
      </c>
      <c r="C22" s="22">
        <v>3.28</v>
      </c>
      <c r="D22" s="22">
        <v>6.56</v>
      </c>
      <c r="E22" s="22">
        <v>11.82</v>
      </c>
      <c r="F22" s="22">
        <v>21.18</v>
      </c>
      <c r="G22" s="22">
        <v>20</v>
      </c>
      <c r="H22" s="22">
        <v>47.06</v>
      </c>
    </row>
    <row r="23" spans="1:8" ht="12.75">
      <c r="A23" s="13">
        <v>1847</v>
      </c>
      <c r="B23" s="22">
        <v>0.83</v>
      </c>
      <c r="C23" s="22">
        <v>4.13</v>
      </c>
      <c r="D23" s="22">
        <v>8.2</v>
      </c>
      <c r="E23" s="22">
        <v>16.28</v>
      </c>
      <c r="F23" s="22">
        <v>28.57</v>
      </c>
      <c r="G23" s="22">
        <v>31.87</v>
      </c>
      <c r="H23" s="22">
        <v>42.11</v>
      </c>
    </row>
    <row r="24" spans="1:8" ht="12.75">
      <c r="A24" s="13">
        <v>1857</v>
      </c>
      <c r="B24" s="22">
        <v>0.56</v>
      </c>
      <c r="C24" s="22">
        <v>2.81</v>
      </c>
      <c r="D24" s="22">
        <v>5.4</v>
      </c>
      <c r="E24" s="22">
        <v>8.83</v>
      </c>
      <c r="F24" s="22">
        <v>12.44</v>
      </c>
      <c r="G24" s="22">
        <v>14.43</v>
      </c>
      <c r="H24" s="22">
        <v>15</v>
      </c>
    </row>
    <row r="25" spans="1:8" ht="12.75">
      <c r="A25" s="13">
        <v>1867</v>
      </c>
      <c r="B25" s="22">
        <v>0.57</v>
      </c>
      <c r="C25" s="22">
        <v>2.77</v>
      </c>
      <c r="D25" s="22">
        <v>5.29</v>
      </c>
      <c r="E25" s="22">
        <v>8.74</v>
      </c>
      <c r="F25" s="22">
        <v>13.12</v>
      </c>
      <c r="G25" s="22">
        <v>17</v>
      </c>
      <c r="H25" s="22">
        <v>20.69</v>
      </c>
    </row>
    <row r="26" spans="1:8" ht="12.75">
      <c r="A26" s="13">
        <v>1877</v>
      </c>
      <c r="B26" s="22">
        <f>F14</f>
        <v>0.5281996038502971</v>
      </c>
      <c r="C26" s="22">
        <v>2.6</v>
      </c>
      <c r="D26" s="22">
        <v>5.2</v>
      </c>
      <c r="E26" s="22">
        <v>8.5</v>
      </c>
      <c r="F26" s="22">
        <v>11.8</v>
      </c>
      <c r="G26" s="22">
        <v>13.9</v>
      </c>
      <c r="H26" s="22">
        <v>13.8</v>
      </c>
    </row>
    <row r="27" spans="1:8" ht="12.75">
      <c r="A27" s="13">
        <v>1887</v>
      </c>
      <c r="B27" s="22">
        <f>F15</f>
        <v>0.4824038824794397</v>
      </c>
      <c r="C27" s="22">
        <v>2.4</v>
      </c>
      <c r="D27" s="22">
        <v>4.8</v>
      </c>
      <c r="E27" s="22">
        <v>7.6</v>
      </c>
      <c r="F27" s="22">
        <v>13.3</v>
      </c>
      <c r="G27" s="22">
        <v>15.6</v>
      </c>
      <c r="H27" s="22">
        <v>11.4</v>
      </c>
    </row>
    <row r="28" spans="1:8" ht="12.75">
      <c r="A28" s="13">
        <v>1902</v>
      </c>
      <c r="B28" s="22">
        <v>0.32</v>
      </c>
      <c r="C28" s="22">
        <v>1.58</v>
      </c>
      <c r="D28" s="22">
        <v>3.13</v>
      </c>
      <c r="E28" s="22">
        <v>6.21</v>
      </c>
      <c r="F28" s="22">
        <v>8.79</v>
      </c>
      <c r="G28" s="22">
        <v>12.64</v>
      </c>
      <c r="H28" s="22">
        <v>27</v>
      </c>
    </row>
    <row r="30" spans="1:9" ht="12.75">
      <c r="A30" s="25" t="s">
        <v>343</v>
      </c>
      <c r="B30" s="13" t="s">
        <v>62</v>
      </c>
      <c r="C30" s="13" t="s">
        <v>63</v>
      </c>
      <c r="D30" s="13" t="s">
        <v>64</v>
      </c>
      <c r="E30" s="13" t="s">
        <v>65</v>
      </c>
      <c r="F30" s="13" t="s">
        <v>66</v>
      </c>
      <c r="G30" s="13" t="s">
        <v>67</v>
      </c>
      <c r="H30" s="13" t="s">
        <v>55</v>
      </c>
      <c r="I30" s="13"/>
    </row>
    <row r="31" spans="1:8" ht="12.75">
      <c r="A31" s="13">
        <v>1807</v>
      </c>
      <c r="B31" s="22">
        <f aca="true" t="shared" si="3" ref="B31:B40">(100*B19-20*C19)/80</f>
        <v>-0.004999999999999893</v>
      </c>
      <c r="C31" s="22">
        <f aca="true" t="shared" si="4" ref="C31:C40">(20*C19-10*D19)/10</f>
        <v>0</v>
      </c>
      <c r="D31" s="22">
        <f aca="true" t="shared" si="5" ref="D31:D40">(10*D19-5*E19)/5</f>
        <v>3.5799999999999983</v>
      </c>
      <c r="E31" s="22">
        <f aca="true" t="shared" si="6" ref="E31:E40">(5*E19-1*F19)/4</f>
        <v>8.45</v>
      </c>
      <c r="F31" s="22">
        <f aca="true" t="shared" si="7" ref="F31:F40">(1*F19-0.5*G19)/0.5</f>
        <v>24.099999999999998</v>
      </c>
      <c r="G31" s="22">
        <f aca="true" t="shared" si="8" ref="G31:G40">(5*G19-1*H19)/4</f>
        <v>12.875</v>
      </c>
      <c r="H31" s="22">
        <f aca="true" t="shared" si="9" ref="H31:H40">H19</f>
        <v>25</v>
      </c>
    </row>
    <row r="32" spans="1:8" ht="12.75">
      <c r="A32" s="13">
        <v>1817</v>
      </c>
      <c r="B32" s="22">
        <f t="shared" si="3"/>
        <v>0</v>
      </c>
      <c r="C32" s="22">
        <f t="shared" si="4"/>
        <v>0.009999999999999431</v>
      </c>
      <c r="D32" s="22">
        <f t="shared" si="5"/>
        <v>0</v>
      </c>
      <c r="E32" s="22">
        <f t="shared" si="6"/>
        <v>7.767500000000002</v>
      </c>
      <c r="F32" s="22">
        <f t="shared" si="7"/>
        <v>4.989999999999998</v>
      </c>
      <c r="G32" s="22">
        <f t="shared" si="8"/>
        <v>12.505000000000003</v>
      </c>
      <c r="H32" s="22">
        <f t="shared" si="9"/>
        <v>33.33</v>
      </c>
    </row>
    <row r="33" spans="1:8" ht="12.75">
      <c r="A33" s="13">
        <v>1827</v>
      </c>
      <c r="B33" s="22">
        <f t="shared" si="3"/>
        <v>0.004999999999999982</v>
      </c>
      <c r="C33" s="22">
        <f t="shared" si="4"/>
        <v>-0.010000000000000142</v>
      </c>
      <c r="D33" s="22">
        <f t="shared" si="5"/>
        <v>0.15</v>
      </c>
      <c r="E33" s="22">
        <f t="shared" si="6"/>
        <v>8.66</v>
      </c>
      <c r="F33" s="22">
        <f t="shared" si="7"/>
        <v>8.449999999999996</v>
      </c>
      <c r="G33" s="22">
        <f t="shared" si="8"/>
        <v>25.212500000000006</v>
      </c>
      <c r="H33" s="22">
        <f t="shared" si="9"/>
        <v>40</v>
      </c>
    </row>
    <row r="34" spans="1:8" ht="12.75">
      <c r="A34" s="13">
        <v>1837</v>
      </c>
      <c r="B34" s="22">
        <f t="shared" si="3"/>
        <v>0.005000000000000071</v>
      </c>
      <c r="C34" s="22">
        <f t="shared" si="4"/>
        <v>0</v>
      </c>
      <c r="D34" s="22">
        <f t="shared" si="5"/>
        <v>1.2999999999999985</v>
      </c>
      <c r="E34" s="22">
        <f t="shared" si="6"/>
        <v>9.48</v>
      </c>
      <c r="F34" s="22">
        <f t="shared" si="7"/>
        <v>22.36</v>
      </c>
      <c r="G34" s="22">
        <f t="shared" si="8"/>
        <v>13.235</v>
      </c>
      <c r="H34" s="22">
        <f t="shared" si="9"/>
        <v>47.06</v>
      </c>
    </row>
    <row r="35" spans="1:8" ht="12.75">
      <c r="A35" s="13">
        <v>1847</v>
      </c>
      <c r="B35" s="22">
        <f t="shared" si="3"/>
        <v>0.005000000000000071</v>
      </c>
      <c r="C35" s="22">
        <f t="shared" si="4"/>
        <v>0.05999999999999943</v>
      </c>
      <c r="D35" s="22">
        <f t="shared" si="5"/>
        <v>0.11999999999999886</v>
      </c>
      <c r="E35" s="22">
        <f t="shared" si="6"/>
        <v>13.207500000000001</v>
      </c>
      <c r="F35" s="22">
        <f t="shared" si="7"/>
        <v>25.27</v>
      </c>
      <c r="G35" s="22">
        <f t="shared" si="8"/>
        <v>29.31</v>
      </c>
      <c r="H35" s="22">
        <f t="shared" si="9"/>
        <v>42.11</v>
      </c>
    </row>
    <row r="36" spans="1:8" ht="12.75">
      <c r="A36" s="13">
        <v>1857</v>
      </c>
      <c r="B36" s="22">
        <f t="shared" si="3"/>
        <v>-0.0024999999999999467</v>
      </c>
      <c r="C36" s="22">
        <f t="shared" si="4"/>
        <v>0.22000000000000028</v>
      </c>
      <c r="D36" s="22">
        <f t="shared" si="5"/>
        <v>1.9700000000000002</v>
      </c>
      <c r="E36" s="22">
        <f t="shared" si="6"/>
        <v>7.9275</v>
      </c>
      <c r="F36" s="22">
        <f t="shared" si="7"/>
        <v>10.45</v>
      </c>
      <c r="G36" s="22">
        <f t="shared" si="8"/>
        <v>14.287500000000001</v>
      </c>
      <c r="H36" s="22">
        <f t="shared" si="9"/>
        <v>15</v>
      </c>
    </row>
    <row r="37" spans="1:8" ht="12.75">
      <c r="A37" s="13">
        <v>1867</v>
      </c>
      <c r="B37" s="22">
        <f t="shared" si="3"/>
        <v>0.019999999999999928</v>
      </c>
      <c r="C37" s="22">
        <f t="shared" si="4"/>
        <v>0.25</v>
      </c>
      <c r="D37" s="22">
        <f t="shared" si="5"/>
        <v>1.8399999999999992</v>
      </c>
      <c r="E37" s="22">
        <f t="shared" si="6"/>
        <v>7.645000000000001</v>
      </c>
      <c r="F37" s="22">
        <f t="shared" si="7"/>
        <v>9.239999999999998</v>
      </c>
      <c r="G37" s="22">
        <f t="shared" si="8"/>
        <v>16.0775</v>
      </c>
      <c r="H37" s="22">
        <f t="shared" si="9"/>
        <v>20.69</v>
      </c>
    </row>
    <row r="38" spans="1:8" ht="12.75">
      <c r="A38" s="13">
        <v>1877</v>
      </c>
      <c r="B38" s="22">
        <f t="shared" si="3"/>
        <v>0.010249504812871369</v>
      </c>
      <c r="C38" s="22">
        <f t="shared" si="4"/>
        <v>0</v>
      </c>
      <c r="D38" s="22">
        <f t="shared" si="5"/>
        <v>1.9</v>
      </c>
      <c r="E38" s="22">
        <f t="shared" si="6"/>
        <v>7.675</v>
      </c>
      <c r="F38" s="22">
        <f t="shared" si="7"/>
        <v>9.700000000000001</v>
      </c>
      <c r="G38" s="22">
        <f t="shared" si="8"/>
        <v>13.925</v>
      </c>
      <c r="H38" s="22">
        <f t="shared" si="9"/>
        <v>13.8</v>
      </c>
    </row>
    <row r="39" spans="1:8" ht="12.75">
      <c r="A39" s="13">
        <v>1887</v>
      </c>
      <c r="B39" s="22">
        <f t="shared" si="3"/>
        <v>0.0030048530992996094</v>
      </c>
      <c r="C39" s="22">
        <f t="shared" si="4"/>
        <v>0</v>
      </c>
      <c r="D39" s="22">
        <f t="shared" si="5"/>
        <v>2</v>
      </c>
      <c r="E39" s="22">
        <f t="shared" si="6"/>
        <v>6.175</v>
      </c>
      <c r="F39" s="22">
        <f t="shared" si="7"/>
        <v>11.000000000000002</v>
      </c>
      <c r="G39" s="22">
        <f t="shared" si="8"/>
        <v>16.65</v>
      </c>
      <c r="H39" s="22">
        <f t="shared" si="9"/>
        <v>11.4</v>
      </c>
    </row>
    <row r="40" spans="1:10" ht="12.75">
      <c r="A40" s="13">
        <v>1902</v>
      </c>
      <c r="B40" s="22">
        <f t="shared" si="3"/>
        <v>0.004999999999999982</v>
      </c>
      <c r="C40" s="22">
        <f t="shared" si="4"/>
        <v>0.030000000000000426</v>
      </c>
      <c r="D40" s="22">
        <f t="shared" si="5"/>
        <v>0.04999999999999929</v>
      </c>
      <c r="E40" s="22">
        <f t="shared" si="6"/>
        <v>5.565</v>
      </c>
      <c r="F40" s="22">
        <f t="shared" si="7"/>
        <v>4.939999999999998</v>
      </c>
      <c r="G40" s="22">
        <f t="shared" si="8"/>
        <v>9.05</v>
      </c>
      <c r="H40" s="22">
        <f t="shared" si="9"/>
        <v>27</v>
      </c>
      <c r="J40" s="46"/>
    </row>
    <row r="42" ht="12.75">
      <c r="A42" s="1" t="s">
        <v>350</v>
      </c>
    </row>
    <row r="43" ht="12.75">
      <c r="A43" t="s">
        <v>353</v>
      </c>
    </row>
    <row r="45" ht="12.75">
      <c r="A45" s="9" t="s">
        <v>354</v>
      </c>
    </row>
    <row r="47" spans="2:8" ht="12.75">
      <c r="B47" t="s">
        <v>361</v>
      </c>
      <c r="C47" t="s">
        <v>358</v>
      </c>
      <c r="D47" t="s">
        <v>355</v>
      </c>
      <c r="E47" t="s">
        <v>356</v>
      </c>
      <c r="F47" t="s">
        <v>359</v>
      </c>
      <c r="G47" t="s">
        <v>360</v>
      </c>
      <c r="H47" t="s">
        <v>310</v>
      </c>
    </row>
    <row r="48" spans="1:8" ht="12.75">
      <c r="A48" s="13">
        <v>1807</v>
      </c>
      <c r="B48" s="11">
        <v>1693</v>
      </c>
      <c r="C48" s="11">
        <v>21836</v>
      </c>
      <c r="D48" s="11">
        <v>1509</v>
      </c>
      <c r="E48" s="11">
        <v>18020</v>
      </c>
      <c r="F48" s="22">
        <f>100*D48/(B48+D48)</f>
        <v>47.126795752654594</v>
      </c>
      <c r="G48" s="22">
        <f>100*(D48*E48)/(B48*C48+D48*E48)</f>
        <v>42.38147790803717</v>
      </c>
      <c r="H48" s="61">
        <f>E48/C48</f>
        <v>0.8252427184466019</v>
      </c>
    </row>
    <row r="49" spans="1:8" ht="12.75">
      <c r="A49" s="13">
        <v>1817</v>
      </c>
      <c r="B49" s="11">
        <v>1516</v>
      </c>
      <c r="C49" s="11">
        <v>25030</v>
      </c>
      <c r="D49" s="11">
        <v>1505</v>
      </c>
      <c r="E49" s="11">
        <v>15732</v>
      </c>
      <c r="F49" s="22">
        <f aca="true" t="shared" si="10" ref="F49:F58">100*D49/(B49+D49)</f>
        <v>49.81794107911288</v>
      </c>
      <c r="G49" s="22">
        <f aca="true" t="shared" si="11" ref="G49:G58">100*(D49*E49)/(B49*C49+D49*E49)</f>
        <v>38.42232678060191</v>
      </c>
      <c r="H49" s="61">
        <f aca="true" t="shared" si="12" ref="H49:H58">E49/C49</f>
        <v>0.6285257690771074</v>
      </c>
    </row>
    <row r="50" spans="1:8" ht="12.75">
      <c r="A50" s="13">
        <v>1827</v>
      </c>
      <c r="B50" s="11">
        <v>1856</v>
      </c>
      <c r="C50" s="11">
        <v>40110</v>
      </c>
      <c r="D50" s="11">
        <v>1844</v>
      </c>
      <c r="E50" s="11">
        <v>29343</v>
      </c>
      <c r="F50" s="22">
        <f t="shared" si="10"/>
        <v>49.83783783783784</v>
      </c>
      <c r="G50" s="22">
        <f t="shared" si="11"/>
        <v>42.09052956760472</v>
      </c>
      <c r="H50" s="61">
        <f t="shared" si="12"/>
        <v>0.731563201196709</v>
      </c>
    </row>
    <row r="51" spans="1:8" ht="12.75">
      <c r="A51" s="13">
        <v>1837</v>
      </c>
      <c r="B51" s="11">
        <v>2388</v>
      </c>
      <c r="C51" s="11">
        <v>41482</v>
      </c>
      <c r="D51" s="11">
        <v>2451</v>
      </c>
      <c r="E51" s="11">
        <v>26363</v>
      </c>
      <c r="F51" s="22">
        <f t="shared" si="10"/>
        <v>50.65096094234346</v>
      </c>
      <c r="G51" s="22">
        <f t="shared" si="11"/>
        <v>39.47812432302851</v>
      </c>
      <c r="H51" s="61">
        <f t="shared" si="12"/>
        <v>0.6355286630345692</v>
      </c>
    </row>
    <row r="52" spans="1:8" ht="12.75">
      <c r="A52" s="13">
        <v>1847</v>
      </c>
      <c r="B52" s="11">
        <v>515</v>
      </c>
      <c r="C52" s="11">
        <v>246922</v>
      </c>
      <c r="D52" s="11">
        <v>454</v>
      </c>
      <c r="E52" s="11">
        <v>195449</v>
      </c>
      <c r="F52" s="22">
        <f t="shared" si="10"/>
        <v>46.85242518059856</v>
      </c>
      <c r="G52" s="22">
        <f t="shared" si="11"/>
        <v>41.099763854040496</v>
      </c>
      <c r="H52" s="61">
        <f t="shared" si="12"/>
        <v>0.7915414584362673</v>
      </c>
    </row>
    <row r="53" spans="1:8" ht="12.75">
      <c r="A53" s="13">
        <v>1857</v>
      </c>
      <c r="B53" s="11">
        <v>3137</v>
      </c>
      <c r="C53" s="11">
        <v>64801</v>
      </c>
      <c r="D53" s="11">
        <v>2823</v>
      </c>
      <c r="E53" s="11">
        <v>41111</v>
      </c>
      <c r="F53" s="22">
        <f t="shared" si="10"/>
        <v>47.36577181208054</v>
      </c>
      <c r="G53" s="22">
        <f t="shared" si="11"/>
        <v>36.34289803292189</v>
      </c>
      <c r="H53" s="61">
        <f t="shared" si="12"/>
        <v>0.6344192219255875</v>
      </c>
    </row>
    <row r="54" spans="1:8" ht="12.75">
      <c r="A54" s="13">
        <v>1867</v>
      </c>
      <c r="B54" s="11"/>
      <c r="C54" s="11"/>
      <c r="D54" s="11"/>
      <c r="E54" s="11"/>
      <c r="F54" s="22"/>
      <c r="G54" s="22"/>
      <c r="H54" s="61"/>
    </row>
    <row r="55" spans="1:8" ht="12.75">
      <c r="A55" s="13">
        <v>1877</v>
      </c>
      <c r="B55" s="11">
        <v>4566</v>
      </c>
      <c r="C55" s="11">
        <v>108839</v>
      </c>
      <c r="D55" s="11">
        <v>3673</v>
      </c>
      <c r="E55" s="11">
        <v>89620</v>
      </c>
      <c r="F55" s="22">
        <f>100*D55/(B55+D55)</f>
        <v>44.58065299186794</v>
      </c>
      <c r="G55" s="22">
        <f>100*(D55*E55)/(B55*C55+D55*E55)</f>
        <v>39.84518311306468</v>
      </c>
      <c r="H55" s="61">
        <f>E55/C55</f>
        <v>0.8234180762410533</v>
      </c>
    </row>
    <row r="56" spans="1:8" ht="12.75">
      <c r="A56" s="13">
        <v>1887</v>
      </c>
      <c r="B56" s="11">
        <v>5479</v>
      </c>
      <c r="C56" s="11">
        <v>105532</v>
      </c>
      <c r="D56" s="11">
        <v>4314</v>
      </c>
      <c r="E56" s="11">
        <v>117438</v>
      </c>
      <c r="F56" s="22">
        <f>100*D56/(B56+D56)</f>
        <v>44.05187378739916</v>
      </c>
      <c r="G56" s="22">
        <f>100*(D56*E56)/(B56*C56+D56*E56)</f>
        <v>46.70078213383064</v>
      </c>
      <c r="H56" s="61">
        <f>E56/C56</f>
        <v>1.1128188606299512</v>
      </c>
    </row>
    <row r="57" spans="1:8" ht="12.75">
      <c r="A57" s="13">
        <v>1902</v>
      </c>
      <c r="B57" s="11">
        <v>5543</v>
      </c>
      <c r="C57" s="11">
        <v>148088</v>
      </c>
      <c r="D57" s="11">
        <v>4245</v>
      </c>
      <c r="E57" s="11">
        <v>129171</v>
      </c>
      <c r="F57" s="22">
        <f t="shared" si="10"/>
        <v>43.369431957498975</v>
      </c>
      <c r="G57" s="22">
        <f t="shared" si="11"/>
        <v>40.04804496946167</v>
      </c>
      <c r="H57" s="61">
        <f t="shared" si="12"/>
        <v>0.8722583869050835</v>
      </c>
    </row>
    <row r="58" spans="1:8" ht="12.75">
      <c r="A58" t="s">
        <v>370</v>
      </c>
      <c r="B58" s="11">
        <v>5604</v>
      </c>
      <c r="C58" s="11">
        <v>1386494</v>
      </c>
      <c r="D58" s="11">
        <v>6554</v>
      </c>
      <c r="E58" s="11">
        <v>1346759</v>
      </c>
      <c r="F58" s="22">
        <f t="shared" si="10"/>
        <v>53.90689258101661</v>
      </c>
      <c r="G58" s="22">
        <f t="shared" si="11"/>
        <v>53.183627867427596</v>
      </c>
      <c r="H58" s="61">
        <f t="shared" si="12"/>
        <v>0.9713413833741797</v>
      </c>
    </row>
    <row r="59" spans="1:8" ht="12.75">
      <c r="A59" t="s">
        <v>371</v>
      </c>
      <c r="B59" s="11">
        <v>150450</v>
      </c>
      <c r="C59" s="11">
        <v>576741</v>
      </c>
      <c r="D59" s="11">
        <v>146695</v>
      </c>
      <c r="E59" s="11">
        <v>569576</v>
      </c>
      <c r="F59" s="22">
        <f>100*D59/(B59+D59)</f>
        <v>49.36815359504619</v>
      </c>
      <c r="G59" s="22">
        <f>100*(D59*E59)/(B59*C59+D59*E59)</f>
        <v>49.05570555476495</v>
      </c>
      <c r="H59" s="61">
        <f>E59/C59</f>
        <v>0.9875767458876689</v>
      </c>
    </row>
    <row r="60" spans="1:8" ht="12.75">
      <c r="A60" s="13"/>
      <c r="B60" s="11"/>
      <c r="C60" s="11"/>
      <c r="D60" s="11"/>
      <c r="E60" s="11"/>
      <c r="F60" s="22"/>
      <c r="G60" s="22"/>
      <c r="H60" s="61"/>
    </row>
    <row r="62" spans="1:8" ht="12.75">
      <c r="A62" s="25" t="s">
        <v>357</v>
      </c>
      <c r="B62" s="13" t="s">
        <v>61</v>
      </c>
      <c r="C62" s="13" t="s">
        <v>50</v>
      </c>
      <c r="D62" s="13" t="s">
        <v>51</v>
      </c>
      <c r="E62" s="13" t="s">
        <v>52</v>
      </c>
      <c r="F62" s="13" t="s">
        <v>53</v>
      </c>
      <c r="G62" s="13" t="s">
        <v>54</v>
      </c>
      <c r="H62" s="13"/>
    </row>
    <row r="63" spans="1:8" ht="12.75">
      <c r="A63" s="13">
        <v>1807</v>
      </c>
      <c r="B63" s="22">
        <v>50</v>
      </c>
      <c r="C63" s="22">
        <v>44.38</v>
      </c>
      <c r="D63" s="22">
        <v>43.47</v>
      </c>
      <c r="E63" s="22">
        <v>40.83</v>
      </c>
      <c r="F63" s="22">
        <v>36.52</v>
      </c>
      <c r="G63" s="22">
        <v>30.51</v>
      </c>
      <c r="H63" s="22"/>
    </row>
    <row r="64" spans="1:8" ht="12.75">
      <c r="A64" s="13">
        <v>1817</v>
      </c>
      <c r="B64" s="22">
        <v>50</v>
      </c>
      <c r="C64" s="22">
        <v>48.9</v>
      </c>
      <c r="D64" s="22">
        <v>46.1</v>
      </c>
      <c r="E64" s="22">
        <v>47.1</v>
      </c>
      <c r="F64" s="22">
        <v>44.1</v>
      </c>
      <c r="G64" s="22">
        <v>30.5</v>
      </c>
      <c r="H64" s="22"/>
    </row>
    <row r="65" spans="1:8" ht="12.75">
      <c r="A65" s="13">
        <v>1827</v>
      </c>
      <c r="B65" s="22">
        <v>50</v>
      </c>
      <c r="C65" s="22">
        <v>48.9</v>
      </c>
      <c r="D65" s="22">
        <v>46.9</v>
      </c>
      <c r="E65" s="22">
        <v>45.9</v>
      </c>
      <c r="F65" s="22">
        <v>41.8</v>
      </c>
      <c r="G65" s="22">
        <v>43.7</v>
      </c>
      <c r="H65" s="22"/>
    </row>
    <row r="66" spans="1:8" ht="12.75">
      <c r="A66" s="13">
        <v>1837</v>
      </c>
      <c r="B66" s="22">
        <v>50</v>
      </c>
      <c r="C66" s="22">
        <v>48.5</v>
      </c>
      <c r="D66" s="22">
        <v>46</v>
      </c>
      <c r="E66" s="22">
        <v>42.1</v>
      </c>
      <c r="F66" s="22">
        <v>34.7</v>
      </c>
      <c r="G66" s="22">
        <v>38.8</v>
      </c>
      <c r="H66" s="22"/>
    </row>
    <row r="67" spans="1:8" ht="12.75">
      <c r="A67" s="13">
        <v>1847</v>
      </c>
      <c r="B67" s="22">
        <v>50</v>
      </c>
      <c r="C67" s="22">
        <v>46.8</v>
      </c>
      <c r="D67" s="22">
        <v>46.8</v>
      </c>
      <c r="E67" s="22">
        <v>46.8</v>
      </c>
      <c r="F67" s="22">
        <v>45.1</v>
      </c>
      <c r="G67" s="22">
        <v>42.9</v>
      </c>
      <c r="H67" s="22"/>
    </row>
    <row r="68" spans="1:8" ht="12.75">
      <c r="A68" s="13">
        <v>1857</v>
      </c>
      <c r="B68" s="22">
        <v>50</v>
      </c>
      <c r="C68" s="22">
        <v>47</v>
      </c>
      <c r="D68" s="22">
        <v>46</v>
      </c>
      <c r="E68" s="22">
        <v>42.9</v>
      </c>
      <c r="F68" s="22">
        <v>31.6</v>
      </c>
      <c r="G68" s="22">
        <v>30.9</v>
      </c>
      <c r="H68" s="22"/>
    </row>
    <row r="69" spans="1:8" ht="12.75">
      <c r="A69" s="13">
        <v>1867</v>
      </c>
      <c r="B69" s="22"/>
      <c r="C69" s="22"/>
      <c r="D69" s="22"/>
      <c r="E69" s="22"/>
      <c r="F69" s="22"/>
      <c r="G69" s="22"/>
      <c r="H69" s="22"/>
    </row>
    <row r="70" spans="1:8" ht="12.75">
      <c r="A70" s="13">
        <v>1877</v>
      </c>
      <c r="B70" s="22">
        <v>50</v>
      </c>
      <c r="C70" s="22">
        <v>45</v>
      </c>
      <c r="D70" s="22">
        <v>43.3</v>
      </c>
      <c r="E70" s="22">
        <v>42.4</v>
      </c>
      <c r="F70" s="22">
        <v>45.5</v>
      </c>
      <c r="G70" s="22">
        <v>43.7</v>
      </c>
      <c r="H70" s="22"/>
    </row>
    <row r="71" spans="1:8" ht="12.75">
      <c r="A71" s="13">
        <v>1887</v>
      </c>
      <c r="B71" s="22">
        <v>50</v>
      </c>
      <c r="C71" s="22">
        <v>44.7</v>
      </c>
      <c r="D71" s="22">
        <v>45.2</v>
      </c>
      <c r="E71" s="22">
        <v>44.4</v>
      </c>
      <c r="F71" s="22">
        <v>43.8</v>
      </c>
      <c r="G71" s="22">
        <v>46.2</v>
      </c>
      <c r="H71" s="22"/>
    </row>
    <row r="72" spans="1:8" ht="12.75">
      <c r="A72" s="13">
        <v>1902</v>
      </c>
      <c r="B72" s="22">
        <v>50</v>
      </c>
      <c r="C72" s="22">
        <v>44.37</v>
      </c>
      <c r="D72" s="22">
        <v>45.5</v>
      </c>
      <c r="E72" s="22">
        <v>43.78</v>
      </c>
      <c r="F72" s="22">
        <v>42.03</v>
      </c>
      <c r="G72" s="22">
        <v>40.11</v>
      </c>
      <c r="H72" s="22"/>
    </row>
    <row r="73" spans="1:8" ht="12.75">
      <c r="A73" s="13" t="s">
        <v>373</v>
      </c>
      <c r="B73" s="22">
        <v>50</v>
      </c>
      <c r="C73" s="22">
        <v>43.8</v>
      </c>
      <c r="D73" s="22">
        <v>43.7</v>
      </c>
      <c r="E73" s="22">
        <v>43.2</v>
      </c>
      <c r="F73" s="22">
        <v>42.6</v>
      </c>
      <c r="G73" s="22">
        <v>41.8</v>
      </c>
      <c r="H73" s="22"/>
    </row>
    <row r="74" spans="1:8" ht="12.75">
      <c r="A74" t="s">
        <v>370</v>
      </c>
      <c r="B74" s="22">
        <v>50</v>
      </c>
      <c r="C74" s="22">
        <v>57.3</v>
      </c>
      <c r="D74" s="22">
        <v>55</v>
      </c>
      <c r="E74" s="22">
        <v>51.9</v>
      </c>
      <c r="F74" s="22">
        <v>37.3</v>
      </c>
      <c r="G74" s="22">
        <v>33</v>
      </c>
      <c r="H74" s="22"/>
    </row>
    <row r="75" spans="1:8" ht="12.75">
      <c r="A75" t="s">
        <v>371</v>
      </c>
      <c r="B75" s="22">
        <v>50</v>
      </c>
      <c r="C75" s="22">
        <v>50</v>
      </c>
      <c r="D75" s="22">
        <v>49.4</v>
      </c>
      <c r="E75" s="22">
        <v>52.6</v>
      </c>
      <c r="F75" s="22">
        <v>52.8</v>
      </c>
      <c r="G75" s="22">
        <v>43.6</v>
      </c>
      <c r="H75" s="22"/>
    </row>
    <row r="77" spans="1:9" ht="12.75">
      <c r="A77" s="25" t="s">
        <v>357</v>
      </c>
      <c r="B77" s="13" t="s">
        <v>62</v>
      </c>
      <c r="C77" s="13" t="s">
        <v>63</v>
      </c>
      <c r="D77" s="13" t="s">
        <v>64</v>
      </c>
      <c r="E77" s="13" t="s">
        <v>65</v>
      </c>
      <c r="F77" s="13" t="s">
        <v>66</v>
      </c>
      <c r="G77" s="13" t="s">
        <v>54</v>
      </c>
      <c r="H77" s="13"/>
      <c r="I77" s="13"/>
    </row>
    <row r="78" spans="1:8" ht="12.75">
      <c r="A78" s="13">
        <v>1807</v>
      </c>
      <c r="B78" s="22">
        <f aca="true" t="shared" si="13" ref="B78:B83">(100*B63-20*C63)/80</f>
        <v>51.404999999999994</v>
      </c>
      <c r="C78" s="22">
        <f aca="true" t="shared" si="14" ref="C78:C83">(20*C63-10*D63)/10</f>
        <v>45.290000000000006</v>
      </c>
      <c r="D78" s="22">
        <f aca="true" t="shared" si="15" ref="D78:D83">(10*D63-5*E63)/5</f>
        <v>46.11</v>
      </c>
      <c r="E78" s="22">
        <f aca="true" t="shared" si="16" ref="E78:E83">(5*E63-1*F63)/4</f>
        <v>41.90749999999999</v>
      </c>
      <c r="F78" s="22">
        <f aca="true" t="shared" si="17" ref="F78:F83">(1*F63-0.5*G63)/0.5</f>
        <v>42.53</v>
      </c>
      <c r="G78" s="22">
        <f aca="true" t="shared" si="18" ref="G78:G83">G63</f>
        <v>30.51</v>
      </c>
      <c r="H78" s="61">
        <f>D78/G78</f>
        <v>1.511307767944936</v>
      </c>
    </row>
    <row r="79" spans="1:8" ht="12.75">
      <c r="A79" s="13">
        <v>1817</v>
      </c>
      <c r="B79" s="22">
        <f t="shared" si="13"/>
        <v>50.275</v>
      </c>
      <c r="C79" s="22">
        <f t="shared" si="14"/>
        <v>51.7</v>
      </c>
      <c r="D79" s="22">
        <f t="shared" si="15"/>
        <v>45.1</v>
      </c>
      <c r="E79" s="22">
        <f t="shared" si="16"/>
        <v>47.85</v>
      </c>
      <c r="F79" s="22">
        <f t="shared" si="17"/>
        <v>57.7</v>
      </c>
      <c r="G79" s="22">
        <f t="shared" si="18"/>
        <v>30.5</v>
      </c>
      <c r="H79" s="61">
        <f aca="true" t="shared" si="19" ref="H79:H90">D79/G79</f>
        <v>1.478688524590164</v>
      </c>
    </row>
    <row r="80" spans="1:8" ht="12.75">
      <c r="A80" s="13">
        <v>1827</v>
      </c>
      <c r="B80" s="22">
        <f t="shared" si="13"/>
        <v>50.275</v>
      </c>
      <c r="C80" s="22">
        <f t="shared" si="14"/>
        <v>50.9</v>
      </c>
      <c r="D80" s="22">
        <f t="shared" si="15"/>
        <v>47.9</v>
      </c>
      <c r="E80" s="22">
        <f t="shared" si="16"/>
        <v>46.925</v>
      </c>
      <c r="F80" s="22">
        <f t="shared" si="17"/>
        <v>39.89999999999999</v>
      </c>
      <c r="G80" s="22">
        <f t="shared" si="18"/>
        <v>43.7</v>
      </c>
      <c r="H80" s="61">
        <f t="shared" si="19"/>
        <v>1.0961098398169336</v>
      </c>
    </row>
    <row r="81" spans="1:8" ht="12.75">
      <c r="A81" s="13">
        <v>1837</v>
      </c>
      <c r="B81" s="22">
        <f t="shared" si="13"/>
        <v>50.375</v>
      </c>
      <c r="C81" s="22">
        <f t="shared" si="14"/>
        <v>51</v>
      </c>
      <c r="D81" s="22">
        <f t="shared" si="15"/>
        <v>49.9</v>
      </c>
      <c r="E81" s="22">
        <f t="shared" si="16"/>
        <v>43.95</v>
      </c>
      <c r="F81" s="22">
        <f t="shared" si="17"/>
        <v>30.60000000000001</v>
      </c>
      <c r="G81" s="22">
        <f t="shared" si="18"/>
        <v>38.8</v>
      </c>
      <c r="H81" s="61">
        <f t="shared" si="19"/>
        <v>1.2860824742268042</v>
      </c>
    </row>
    <row r="82" spans="1:8" ht="12.75">
      <c r="A82" s="13">
        <v>1847</v>
      </c>
      <c r="B82" s="22">
        <f t="shared" si="13"/>
        <v>50.8</v>
      </c>
      <c r="C82" s="22">
        <f t="shared" si="14"/>
        <v>46.8</v>
      </c>
      <c r="D82" s="22">
        <f t="shared" si="15"/>
        <v>46.8</v>
      </c>
      <c r="E82" s="22">
        <f t="shared" si="16"/>
        <v>47.225</v>
      </c>
      <c r="F82" s="22">
        <f t="shared" si="17"/>
        <v>47.300000000000004</v>
      </c>
      <c r="G82" s="22">
        <f t="shared" si="18"/>
        <v>42.9</v>
      </c>
      <c r="H82" s="61">
        <f t="shared" si="19"/>
        <v>1.0909090909090908</v>
      </c>
    </row>
    <row r="83" spans="1:8" ht="12.75">
      <c r="A83" s="13">
        <v>1857</v>
      </c>
      <c r="B83" s="22">
        <f t="shared" si="13"/>
        <v>50.75</v>
      </c>
      <c r="C83" s="22">
        <f t="shared" si="14"/>
        <v>48</v>
      </c>
      <c r="D83" s="22">
        <f t="shared" si="15"/>
        <v>49.1</v>
      </c>
      <c r="E83" s="22">
        <f t="shared" si="16"/>
        <v>45.725</v>
      </c>
      <c r="F83" s="22">
        <f t="shared" si="17"/>
        <v>32.300000000000004</v>
      </c>
      <c r="G83" s="22">
        <f t="shared" si="18"/>
        <v>30.9</v>
      </c>
      <c r="H83" s="61">
        <f t="shared" si="19"/>
        <v>1.5889967637540454</v>
      </c>
    </row>
    <row r="84" spans="1:8" ht="12.75">
      <c r="A84" s="13">
        <v>1867</v>
      </c>
      <c r="B84" s="22"/>
      <c r="C84" s="22"/>
      <c r="D84" s="22"/>
      <c r="E84" s="22"/>
      <c r="F84" s="22"/>
      <c r="G84" s="22"/>
      <c r="H84" s="61"/>
    </row>
    <row r="85" spans="1:8" ht="12.75">
      <c r="A85" s="13">
        <v>1877</v>
      </c>
      <c r="B85" s="22">
        <f aca="true" t="shared" si="20" ref="B85:B90">(100*B70-20*C70)/80</f>
        <v>51.25</v>
      </c>
      <c r="C85" s="22">
        <f aca="true" t="shared" si="21" ref="C85:C90">(20*C70-10*D70)/10</f>
        <v>46.7</v>
      </c>
      <c r="D85" s="22">
        <f aca="true" t="shared" si="22" ref="D85:D90">(10*D70-5*E70)/5</f>
        <v>44.2</v>
      </c>
      <c r="E85" s="22">
        <f aca="true" t="shared" si="23" ref="E85:E90">(5*E70-1*F70)/4</f>
        <v>41.625</v>
      </c>
      <c r="F85" s="22">
        <f aca="true" t="shared" si="24" ref="F85:F90">(1*F70-0.5*G70)/0.5</f>
        <v>47.3</v>
      </c>
      <c r="G85" s="22">
        <f aca="true" t="shared" si="25" ref="G85:G90">G70</f>
        <v>43.7</v>
      </c>
      <c r="H85" s="61">
        <f>D85/G85</f>
        <v>1.011441647597254</v>
      </c>
    </row>
    <row r="86" spans="1:8" ht="12.75">
      <c r="A86" s="13">
        <v>1887</v>
      </c>
      <c r="B86" s="22">
        <f t="shared" si="20"/>
        <v>51.325</v>
      </c>
      <c r="C86" s="22">
        <f t="shared" si="21"/>
        <v>44.2</v>
      </c>
      <c r="D86" s="22">
        <f t="shared" si="22"/>
        <v>46</v>
      </c>
      <c r="E86" s="22">
        <f t="shared" si="23"/>
        <v>44.55</v>
      </c>
      <c r="F86" s="22">
        <f t="shared" si="24"/>
        <v>41.39999999999999</v>
      </c>
      <c r="G86" s="22">
        <f t="shared" si="25"/>
        <v>46.2</v>
      </c>
      <c r="H86" s="61">
        <f>D86/G86</f>
        <v>0.9956709956709956</v>
      </c>
    </row>
    <row r="87" spans="1:8" ht="12.75">
      <c r="A87" s="13">
        <v>1902</v>
      </c>
      <c r="B87" s="22">
        <f t="shared" si="20"/>
        <v>51.407500000000006</v>
      </c>
      <c r="C87" s="22">
        <f t="shared" si="21"/>
        <v>43.239999999999995</v>
      </c>
      <c r="D87" s="22">
        <f t="shared" si="22"/>
        <v>47.22</v>
      </c>
      <c r="E87" s="22">
        <f t="shared" si="23"/>
        <v>44.2175</v>
      </c>
      <c r="F87" s="22">
        <f t="shared" si="24"/>
        <v>43.95</v>
      </c>
      <c r="G87" s="22">
        <f t="shared" si="25"/>
        <v>40.11</v>
      </c>
      <c r="H87" s="61">
        <f t="shared" si="19"/>
        <v>1.1772625280478684</v>
      </c>
    </row>
    <row r="88" spans="1:8" ht="12.75">
      <c r="A88" s="13" t="s">
        <v>373</v>
      </c>
      <c r="B88" s="22">
        <f t="shared" si="20"/>
        <v>51.55</v>
      </c>
      <c r="C88" s="22">
        <f t="shared" si="21"/>
        <v>43.9</v>
      </c>
      <c r="D88" s="22">
        <f t="shared" si="22"/>
        <v>44.2</v>
      </c>
      <c r="E88" s="22">
        <f t="shared" si="23"/>
        <v>43.35</v>
      </c>
      <c r="F88" s="22">
        <f t="shared" si="24"/>
        <v>43.400000000000006</v>
      </c>
      <c r="G88" s="22">
        <f t="shared" si="25"/>
        <v>41.8</v>
      </c>
      <c r="H88" s="61">
        <f>D88/G88</f>
        <v>1.0574162679425838</v>
      </c>
    </row>
    <row r="89" spans="1:8" ht="12.75">
      <c r="A89" t="s">
        <v>370</v>
      </c>
      <c r="B89" s="22">
        <f t="shared" si="20"/>
        <v>48.175</v>
      </c>
      <c r="C89" s="22">
        <f t="shared" si="21"/>
        <v>59.6</v>
      </c>
      <c r="D89" s="22">
        <f t="shared" si="22"/>
        <v>58.1</v>
      </c>
      <c r="E89" s="22">
        <f t="shared" si="23"/>
        <v>55.55</v>
      </c>
      <c r="F89" s="22">
        <f t="shared" si="24"/>
        <v>41.599999999999994</v>
      </c>
      <c r="G89" s="22">
        <f t="shared" si="25"/>
        <v>33</v>
      </c>
      <c r="H89" s="61">
        <f t="shared" si="19"/>
        <v>1.7606060606060607</v>
      </c>
    </row>
    <row r="90" spans="1:8" ht="12.75">
      <c r="A90" t="s">
        <v>371</v>
      </c>
      <c r="B90" s="22">
        <f t="shared" si="20"/>
        <v>50</v>
      </c>
      <c r="C90" s="22">
        <f t="shared" si="21"/>
        <v>50.6</v>
      </c>
      <c r="D90" s="22">
        <f t="shared" si="22"/>
        <v>46.2</v>
      </c>
      <c r="E90" s="22">
        <f t="shared" si="23"/>
        <v>52.55</v>
      </c>
      <c r="F90" s="22">
        <f t="shared" si="24"/>
        <v>61.99999999999999</v>
      </c>
      <c r="G90" s="22">
        <f t="shared" si="25"/>
        <v>43.6</v>
      </c>
      <c r="H90" s="61">
        <f t="shared" si="19"/>
        <v>1.0596330275229358</v>
      </c>
    </row>
    <row r="93" ht="12.75">
      <c r="A93" s="9" t="s">
        <v>362</v>
      </c>
    </row>
    <row r="94" ht="12.75">
      <c r="A94" s="9"/>
    </row>
    <row r="95" ht="12.75">
      <c r="A95" s="1" t="s">
        <v>443</v>
      </c>
    </row>
    <row r="96" ht="12.75">
      <c r="A96" s="1" t="s">
        <v>444</v>
      </c>
    </row>
    <row r="97" ht="12.75">
      <c r="A97" s="1" t="s">
        <v>445</v>
      </c>
    </row>
    <row r="98" ht="12.75">
      <c r="A98" s="1" t="s">
        <v>446</v>
      </c>
    </row>
    <row r="99" ht="12.75">
      <c r="A99" s="1" t="s">
        <v>447</v>
      </c>
    </row>
    <row r="101" ht="12.75">
      <c r="A101" s="25" t="s">
        <v>450</v>
      </c>
    </row>
    <row r="102" spans="1:9" ht="12.75">
      <c r="A102" t="s">
        <v>363</v>
      </c>
      <c r="B102" t="s">
        <v>61</v>
      </c>
      <c r="C102" t="s">
        <v>50</v>
      </c>
      <c r="D102" t="s">
        <v>51</v>
      </c>
      <c r="E102" t="s">
        <v>52</v>
      </c>
      <c r="F102" t="s">
        <v>53</v>
      </c>
      <c r="G102" t="s">
        <v>54</v>
      </c>
      <c r="H102" t="s">
        <v>448</v>
      </c>
      <c r="I102" t="s">
        <v>449</v>
      </c>
    </row>
    <row r="103" spans="1:9" ht="12.75">
      <c r="A103" s="13">
        <v>1817</v>
      </c>
      <c r="B103" s="12">
        <v>53</v>
      </c>
      <c r="C103" s="12"/>
      <c r="D103" s="12"/>
      <c r="E103" s="12">
        <v>57.6</v>
      </c>
      <c r="F103" s="12">
        <v>57.61</v>
      </c>
      <c r="G103" s="12">
        <v>60.29</v>
      </c>
      <c r="H103" s="32"/>
      <c r="I103" s="3">
        <f>F103/((5*E103-F103)/4)</f>
        <v>1.0002170233083034</v>
      </c>
    </row>
    <row r="104" spans="1:9" ht="12.75">
      <c r="A104" s="13">
        <v>1827</v>
      </c>
      <c r="B104" s="12">
        <v>52.4</v>
      </c>
      <c r="C104" s="12"/>
      <c r="D104" s="12"/>
      <c r="E104" s="12">
        <v>61.89</v>
      </c>
      <c r="F104" s="12">
        <v>60.55</v>
      </c>
      <c r="G104" s="12">
        <v>62.13</v>
      </c>
      <c r="H104" s="32"/>
      <c r="I104" s="3">
        <f aca="true" t="shared" si="26" ref="I104:I114">F104/((5*E104-F104)/4)</f>
        <v>0.9730815588589795</v>
      </c>
    </row>
    <row r="105" spans="1:9" ht="12.75">
      <c r="A105" s="13">
        <v>1837</v>
      </c>
      <c r="B105" s="12">
        <v>51.5</v>
      </c>
      <c r="C105" s="12"/>
      <c r="D105" s="12"/>
      <c r="E105" s="12">
        <v>60.63</v>
      </c>
      <c r="F105" s="12">
        <v>62.34</v>
      </c>
      <c r="G105" s="12">
        <v>62.51</v>
      </c>
      <c r="H105" s="32"/>
      <c r="I105" s="3">
        <f t="shared" si="26"/>
        <v>1.0355051700510776</v>
      </c>
    </row>
    <row r="106" spans="1:9" ht="12.75">
      <c r="A106" s="13">
        <v>1847</v>
      </c>
      <c r="B106" s="12">
        <v>50.1</v>
      </c>
      <c r="C106" s="12"/>
      <c r="D106" s="12"/>
      <c r="E106" s="12">
        <v>61.39</v>
      </c>
      <c r="F106" s="12">
        <v>62.86</v>
      </c>
      <c r="G106" s="12">
        <v>64.95</v>
      </c>
      <c r="H106" s="32"/>
      <c r="I106" s="3">
        <f t="shared" si="26"/>
        <v>1.0301118439919703</v>
      </c>
    </row>
    <row r="107" spans="1:9" ht="12.75">
      <c r="A107" s="13">
        <v>1857</v>
      </c>
      <c r="B107" s="12">
        <v>48.6</v>
      </c>
      <c r="C107" s="12"/>
      <c r="D107" s="12"/>
      <c r="E107" s="12">
        <v>63.55</v>
      </c>
      <c r="F107" s="12">
        <v>66.38</v>
      </c>
      <c r="G107" s="12">
        <v>62.4</v>
      </c>
      <c r="H107" s="32"/>
      <c r="I107" s="3">
        <f t="shared" si="26"/>
        <v>1.0562915224569358</v>
      </c>
    </row>
    <row r="108" spans="1:9" ht="12.75">
      <c r="A108" s="13">
        <v>1867</v>
      </c>
      <c r="B108" s="12">
        <v>51.3</v>
      </c>
      <c r="C108" s="12"/>
      <c r="D108" s="12"/>
      <c r="E108" s="12">
        <v>63.17</v>
      </c>
      <c r="F108" s="12">
        <v>65.43</v>
      </c>
      <c r="G108" s="12">
        <v>67.19</v>
      </c>
      <c r="H108" s="32"/>
      <c r="I108" s="3">
        <f t="shared" si="26"/>
        <v>1.0451241913585176</v>
      </c>
    </row>
    <row r="109" spans="1:9" ht="12.75">
      <c r="A109" s="13">
        <v>1877</v>
      </c>
      <c r="B109" s="12">
        <v>51.3</v>
      </c>
      <c r="C109" s="12">
        <v>57.3</v>
      </c>
      <c r="D109" s="12">
        <v>61.3</v>
      </c>
      <c r="E109" s="12">
        <v>63.8</v>
      </c>
      <c r="F109" s="12">
        <v>66.2</v>
      </c>
      <c r="G109" s="12">
        <v>67.4</v>
      </c>
      <c r="H109" s="32">
        <f aca="true" t="shared" si="27" ref="H109:H114">F109/D109</f>
        <v>1.0799347471451877</v>
      </c>
      <c r="I109" s="3">
        <f t="shared" si="26"/>
        <v>1.0474683544303798</v>
      </c>
    </row>
    <row r="110" spans="1:9" ht="12.75">
      <c r="A110" s="13">
        <v>1887</v>
      </c>
      <c r="B110" s="12">
        <v>51.2</v>
      </c>
      <c r="C110" s="12">
        <v>57.6</v>
      </c>
      <c r="D110" s="12">
        <v>62.1</v>
      </c>
      <c r="E110" s="12">
        <v>64.6</v>
      </c>
      <c r="F110" s="12">
        <v>68</v>
      </c>
      <c r="G110" s="12">
        <v>69.2</v>
      </c>
      <c r="H110" s="32">
        <f t="shared" si="27"/>
        <v>1.0950080515297906</v>
      </c>
      <c r="I110" s="3">
        <f t="shared" si="26"/>
        <v>1.0666666666666667</v>
      </c>
    </row>
    <row r="111" spans="1:9" ht="12.75">
      <c r="A111" s="13">
        <v>1902</v>
      </c>
      <c r="B111" s="12">
        <v>53.3</v>
      </c>
      <c r="C111" s="12">
        <v>56.99</v>
      </c>
      <c r="D111" s="12">
        <v>61.84</v>
      </c>
      <c r="E111" s="12">
        <v>63.91</v>
      </c>
      <c r="F111" s="12">
        <v>67.59</v>
      </c>
      <c r="G111" s="12">
        <v>67.8</v>
      </c>
      <c r="H111" s="32">
        <f t="shared" si="27"/>
        <v>1.0929818887451488</v>
      </c>
      <c r="I111" s="3">
        <f t="shared" si="26"/>
        <v>1.073027464676933</v>
      </c>
    </row>
    <row r="112" spans="1:9" ht="12.75">
      <c r="A112" s="13" t="s">
        <v>373</v>
      </c>
      <c r="B112" s="12"/>
      <c r="C112" s="12"/>
      <c r="D112" s="12">
        <v>67</v>
      </c>
      <c r="E112" s="12">
        <v>67.4</v>
      </c>
      <c r="F112" s="12">
        <v>68.4</v>
      </c>
      <c r="G112" s="12">
        <v>69.7</v>
      </c>
      <c r="H112" s="32"/>
      <c r="I112" s="3">
        <f t="shared" si="26"/>
        <v>1.01861504095309</v>
      </c>
    </row>
    <row r="113" spans="1:9" ht="12.75">
      <c r="A113" t="s">
        <v>370</v>
      </c>
      <c r="B113" s="11"/>
      <c r="C113" s="12">
        <v>81.96</v>
      </c>
      <c r="D113" s="12">
        <v>81.68</v>
      </c>
      <c r="E113" s="12">
        <v>81.3</v>
      </c>
      <c r="F113" s="12">
        <v>80.3</v>
      </c>
      <c r="G113" s="12">
        <v>76.94</v>
      </c>
      <c r="H113" s="32">
        <f t="shared" si="27"/>
        <v>0.9831047992164543</v>
      </c>
      <c r="I113" s="3">
        <f t="shared" si="26"/>
        <v>0.9846719803801349</v>
      </c>
    </row>
    <row r="114" spans="1:9" ht="12.75">
      <c r="A114" t="s">
        <v>371</v>
      </c>
      <c r="B114" s="12">
        <v>74.5</v>
      </c>
      <c r="C114" s="12">
        <v>76.92</v>
      </c>
      <c r="D114" s="12">
        <v>77.14</v>
      </c>
      <c r="E114" s="12">
        <v>77.97</v>
      </c>
      <c r="F114" s="12">
        <v>80.14</v>
      </c>
      <c r="G114" s="12">
        <v>79.14</v>
      </c>
      <c r="H114" s="32">
        <f t="shared" si="27"/>
        <v>1.0388903292714544</v>
      </c>
      <c r="I114" s="3">
        <f t="shared" si="26"/>
        <v>1.0350327725937165</v>
      </c>
    </row>
    <row r="115" spans="2:9" ht="12.75">
      <c r="B115" s="12"/>
      <c r="C115" s="12"/>
      <c r="D115" s="12"/>
      <c r="E115" s="12"/>
      <c r="F115" s="12"/>
      <c r="G115" s="12"/>
      <c r="H115" s="32"/>
      <c r="I115" s="3"/>
    </row>
    <row r="116" spans="1:9" ht="12.75">
      <c r="A116" t="s">
        <v>363</v>
      </c>
      <c r="B116" t="s">
        <v>434</v>
      </c>
      <c r="C116" t="s">
        <v>62</v>
      </c>
      <c r="D116" t="s">
        <v>63</v>
      </c>
      <c r="E116" t="s">
        <v>64</v>
      </c>
      <c r="F116" t="s">
        <v>65</v>
      </c>
      <c r="G116" t="s">
        <v>53</v>
      </c>
      <c r="I116" t="s">
        <v>449</v>
      </c>
    </row>
    <row r="117" spans="1:9" ht="12.75">
      <c r="A117" s="13">
        <v>1817</v>
      </c>
      <c r="B117" s="12">
        <f>(100*B103-5*E103)/95</f>
        <v>52.757894736842104</v>
      </c>
      <c r="C117" s="12"/>
      <c r="D117" s="12"/>
      <c r="E117" s="12"/>
      <c r="F117" s="12">
        <f>(5*E103-F103)/4</f>
        <v>57.5975</v>
      </c>
      <c r="G117" s="12">
        <f>F103</f>
        <v>57.61</v>
      </c>
      <c r="H117" s="32"/>
      <c r="I117" s="3">
        <f>G117/F117</f>
        <v>1.0002170233083034</v>
      </c>
    </row>
    <row r="118" spans="1:9" ht="12.75">
      <c r="A118" s="13">
        <v>1827</v>
      </c>
      <c r="B118" s="12">
        <f aca="true" t="shared" si="28" ref="B118:B125">(100*B104-5*E104)/95</f>
        <v>51.90052631578948</v>
      </c>
      <c r="C118" s="12"/>
      <c r="D118" s="12"/>
      <c r="E118" s="12"/>
      <c r="F118" s="12">
        <f aca="true" t="shared" si="29" ref="F118:F128">(5*E104-F104)/4</f>
        <v>62.224999999999994</v>
      </c>
      <c r="G118" s="12">
        <f aca="true" t="shared" si="30" ref="G118:G128">F104</f>
        <v>60.55</v>
      </c>
      <c r="H118" s="32"/>
      <c r="I118" s="3">
        <f aca="true" t="shared" si="31" ref="I118:I128">G118/F118</f>
        <v>0.9730815588589795</v>
      </c>
    </row>
    <row r="119" spans="1:9" ht="12.75">
      <c r="A119" s="13">
        <v>1837</v>
      </c>
      <c r="B119" s="12">
        <f t="shared" si="28"/>
        <v>51.01947368421053</v>
      </c>
      <c r="C119" s="12"/>
      <c r="D119" s="12"/>
      <c r="E119" s="12"/>
      <c r="F119" s="12">
        <f t="shared" si="29"/>
        <v>60.20250000000001</v>
      </c>
      <c r="G119" s="12">
        <f t="shared" si="30"/>
        <v>62.34</v>
      </c>
      <c r="H119" s="32"/>
      <c r="I119" s="3">
        <f t="shared" si="31"/>
        <v>1.0355051700510776</v>
      </c>
    </row>
    <row r="120" spans="1:9" ht="12.75">
      <c r="A120" s="13">
        <v>1847</v>
      </c>
      <c r="B120" s="12">
        <f t="shared" si="28"/>
        <v>49.50578947368421</v>
      </c>
      <c r="C120" s="12"/>
      <c r="D120" s="12"/>
      <c r="E120" s="12"/>
      <c r="F120" s="12">
        <f t="shared" si="29"/>
        <v>61.022499999999994</v>
      </c>
      <c r="G120" s="12">
        <f t="shared" si="30"/>
        <v>62.86</v>
      </c>
      <c r="H120" s="32"/>
      <c r="I120" s="3">
        <f t="shared" si="31"/>
        <v>1.0301118439919703</v>
      </c>
    </row>
    <row r="121" spans="1:9" ht="12.75">
      <c r="A121" s="13">
        <v>1857</v>
      </c>
      <c r="B121" s="12">
        <f t="shared" si="28"/>
        <v>47.81315789473684</v>
      </c>
      <c r="C121" s="12"/>
      <c r="D121" s="12"/>
      <c r="E121" s="12"/>
      <c r="F121" s="12">
        <f t="shared" si="29"/>
        <v>62.8425</v>
      </c>
      <c r="G121" s="12">
        <f t="shared" si="30"/>
        <v>66.38</v>
      </c>
      <c r="H121" s="32"/>
      <c r="I121" s="3">
        <f t="shared" si="31"/>
        <v>1.0562915224569358</v>
      </c>
    </row>
    <row r="122" spans="1:9" ht="12.75">
      <c r="A122" s="13">
        <v>1867</v>
      </c>
      <c r="B122" s="12">
        <f t="shared" si="28"/>
        <v>50.67526315789473</v>
      </c>
      <c r="C122" s="12"/>
      <c r="D122" s="12"/>
      <c r="E122" s="12"/>
      <c r="F122" s="12">
        <f t="shared" si="29"/>
        <v>62.605000000000004</v>
      </c>
      <c r="G122" s="12">
        <f t="shared" si="30"/>
        <v>65.43</v>
      </c>
      <c r="H122" s="32"/>
      <c r="I122" s="3">
        <f t="shared" si="31"/>
        <v>1.0451241913585176</v>
      </c>
    </row>
    <row r="123" spans="1:9" ht="12.75">
      <c r="A123" s="13">
        <v>1877</v>
      </c>
      <c r="B123" s="12">
        <f t="shared" si="28"/>
        <v>50.642105263157895</v>
      </c>
      <c r="C123" s="12">
        <f>(100*B109-20*C109)/80</f>
        <v>49.8</v>
      </c>
      <c r="D123" s="12">
        <f aca="true" t="shared" si="32" ref="D123:E125">2*C109-D109</f>
        <v>53.3</v>
      </c>
      <c r="E123" s="12">
        <f t="shared" si="32"/>
        <v>58.8</v>
      </c>
      <c r="F123" s="12">
        <f t="shared" si="29"/>
        <v>63.2</v>
      </c>
      <c r="G123" s="12">
        <f t="shared" si="30"/>
        <v>66.2</v>
      </c>
      <c r="H123" s="32">
        <f>G123/E123</f>
        <v>1.1258503401360545</v>
      </c>
      <c r="I123" s="3">
        <f t="shared" si="31"/>
        <v>1.0474683544303798</v>
      </c>
    </row>
    <row r="124" spans="1:9" ht="12.75">
      <c r="A124" s="13">
        <v>1887</v>
      </c>
      <c r="B124" s="12">
        <f t="shared" si="28"/>
        <v>50.49473684210526</v>
      </c>
      <c r="C124" s="12">
        <f>(100*B110-20*C110)/80</f>
        <v>49.6</v>
      </c>
      <c r="D124" s="12">
        <f t="shared" si="32"/>
        <v>53.1</v>
      </c>
      <c r="E124" s="12">
        <f t="shared" si="32"/>
        <v>59.60000000000001</v>
      </c>
      <c r="F124" s="12">
        <f t="shared" si="29"/>
        <v>63.75</v>
      </c>
      <c r="G124" s="12">
        <f t="shared" si="30"/>
        <v>68</v>
      </c>
      <c r="H124" s="32">
        <f>G124/E124</f>
        <v>1.1409395973154361</v>
      </c>
      <c r="I124" s="3">
        <f t="shared" si="31"/>
        <v>1.0666666666666667</v>
      </c>
    </row>
    <row r="125" spans="1:9" ht="12.75">
      <c r="A125" s="13">
        <v>1902</v>
      </c>
      <c r="B125" s="12">
        <f t="shared" si="28"/>
        <v>52.74157894736842</v>
      </c>
      <c r="C125" s="12">
        <f>(100*B111-20*C111)/80</f>
        <v>52.3775</v>
      </c>
      <c r="D125" s="12">
        <f t="shared" si="32"/>
        <v>52.14</v>
      </c>
      <c r="E125" s="12">
        <f t="shared" si="32"/>
        <v>59.77000000000001</v>
      </c>
      <c r="F125" s="12">
        <f t="shared" si="29"/>
        <v>62.98999999999999</v>
      </c>
      <c r="G125" s="12">
        <f t="shared" si="30"/>
        <v>67.59</v>
      </c>
      <c r="H125" s="32">
        <f>G125/E125</f>
        <v>1.1308348669901287</v>
      </c>
      <c r="I125" s="3">
        <f t="shared" si="31"/>
        <v>1.073027464676933</v>
      </c>
    </row>
    <row r="126" spans="1:9" ht="12.75">
      <c r="A126" s="13" t="s">
        <v>373</v>
      </c>
      <c r="B126" s="12"/>
      <c r="C126" s="12"/>
      <c r="D126" s="12"/>
      <c r="E126" s="12"/>
      <c r="F126" s="12">
        <f t="shared" si="29"/>
        <v>67.15</v>
      </c>
      <c r="G126" s="12">
        <f t="shared" si="30"/>
        <v>68.4</v>
      </c>
      <c r="H126" s="32"/>
      <c r="I126" s="3">
        <f t="shared" si="31"/>
        <v>1.01861504095309</v>
      </c>
    </row>
    <row r="127" spans="1:9" ht="12.75">
      <c r="A127" t="s">
        <v>370</v>
      </c>
      <c r="B127" s="11"/>
      <c r="C127" s="11"/>
      <c r="D127" s="12"/>
      <c r="E127" s="12"/>
      <c r="F127" s="12">
        <f t="shared" si="29"/>
        <v>81.55</v>
      </c>
      <c r="G127" s="12">
        <f t="shared" si="30"/>
        <v>80.3</v>
      </c>
      <c r="H127" s="32"/>
      <c r="I127" s="3">
        <f t="shared" si="31"/>
        <v>0.9846719803801349</v>
      </c>
    </row>
    <row r="128" spans="1:9" ht="12.75">
      <c r="A128" t="s">
        <v>371</v>
      </c>
      <c r="B128" s="12">
        <f>(100*B114-5*E114)/95</f>
        <v>74.31736842105263</v>
      </c>
      <c r="C128" s="12">
        <f>(100*B114-20*C114)/80</f>
        <v>73.89500000000001</v>
      </c>
      <c r="D128" s="12">
        <f>2*C114-D114</f>
        <v>76.7</v>
      </c>
      <c r="E128" s="12">
        <f>2*D114-E114</f>
        <v>76.31</v>
      </c>
      <c r="F128" s="12">
        <f t="shared" si="29"/>
        <v>77.42750000000001</v>
      </c>
      <c r="G128" s="12">
        <f t="shared" si="30"/>
        <v>80.14</v>
      </c>
      <c r="H128" s="32">
        <f>G128/E128</f>
        <v>1.0501900144148866</v>
      </c>
      <c r="I128" s="3">
        <f t="shared" si="31"/>
        <v>1.0350327725937165</v>
      </c>
    </row>
    <row r="129" spans="2:9" ht="12.75">
      <c r="B129" s="12"/>
      <c r="C129" s="12"/>
      <c r="D129" s="12"/>
      <c r="E129" s="12"/>
      <c r="F129" s="12"/>
      <c r="G129" s="12"/>
      <c r="H129" s="32"/>
      <c r="I129" s="3"/>
    </row>
    <row r="130" spans="2:9" ht="12.75">
      <c r="B130" s="12"/>
      <c r="C130" s="12"/>
      <c r="D130" s="12"/>
      <c r="E130" s="12"/>
      <c r="F130" s="12"/>
      <c r="G130" s="12"/>
      <c r="H130" s="32"/>
      <c r="I130" s="3"/>
    </row>
    <row r="131" spans="2:9" ht="12.75">
      <c r="B131" s="12"/>
      <c r="C131" s="12"/>
      <c r="D131" s="12"/>
      <c r="E131" s="12"/>
      <c r="F131" s="12"/>
      <c r="G131" s="12"/>
      <c r="H131" s="32"/>
      <c r="I131" s="3"/>
    </row>
    <row r="132" ht="12.75">
      <c r="A132" s="25" t="s">
        <v>452</v>
      </c>
    </row>
    <row r="133" spans="1:9" ht="12.75">
      <c r="A133" s="27" t="s">
        <v>413</v>
      </c>
      <c r="B133" s="13" t="s">
        <v>364</v>
      </c>
      <c r="C133" s="13" t="s">
        <v>365</v>
      </c>
      <c r="D133" s="13" t="s">
        <v>366</v>
      </c>
      <c r="E133" s="13" t="s">
        <v>367</v>
      </c>
      <c r="F133" s="13" t="s">
        <v>368</v>
      </c>
      <c r="G133" s="13" t="s">
        <v>369</v>
      </c>
      <c r="H133" s="13" t="s">
        <v>0</v>
      </c>
      <c r="I133" s="13" t="s">
        <v>372</v>
      </c>
    </row>
    <row r="134" spans="1:8" ht="12.75">
      <c r="A134" s="13">
        <v>1817</v>
      </c>
      <c r="B134" s="11">
        <v>62329</v>
      </c>
      <c r="C134" s="11">
        <v>63714</v>
      </c>
      <c r="D134" s="11">
        <v>63803</v>
      </c>
      <c r="E134" s="11">
        <v>129931</v>
      </c>
      <c r="F134" s="11">
        <v>104086</v>
      </c>
      <c r="G134" s="11">
        <v>91381</v>
      </c>
      <c r="H134" s="11">
        <v>91242</v>
      </c>
    </row>
    <row r="135" spans="1:8" ht="12.75">
      <c r="A135" s="13">
        <v>1827</v>
      </c>
      <c r="B135" s="11">
        <v>81740</v>
      </c>
      <c r="C135" s="11">
        <v>76900</v>
      </c>
      <c r="D135" s="11">
        <v>120791</v>
      </c>
      <c r="E135" s="11">
        <v>166188</v>
      </c>
      <c r="F135" s="11">
        <v>155646</v>
      </c>
      <c r="G135" s="11">
        <v>164117</v>
      </c>
      <c r="H135" s="11">
        <v>104431</v>
      </c>
    </row>
    <row r="136" spans="1:8" ht="12.75">
      <c r="A136" s="13">
        <v>1837</v>
      </c>
      <c r="B136" s="11">
        <v>93779</v>
      </c>
      <c r="C136" s="11">
        <v>110303</v>
      </c>
      <c r="D136" s="11">
        <v>149105</v>
      </c>
      <c r="E136" s="11">
        <v>139891</v>
      </c>
      <c r="F136" s="11">
        <v>156850</v>
      </c>
      <c r="G136" s="11">
        <v>172559</v>
      </c>
      <c r="H136" s="11">
        <v>143322</v>
      </c>
    </row>
    <row r="137" spans="1:8" ht="12.75">
      <c r="A137" s="13">
        <v>1847</v>
      </c>
      <c r="B137" s="11">
        <v>151189</v>
      </c>
      <c r="C137" s="11">
        <v>142677</v>
      </c>
      <c r="D137" s="11">
        <v>197645</v>
      </c>
      <c r="E137" s="11">
        <v>194364</v>
      </c>
      <c r="F137" s="11">
        <v>227786</v>
      </c>
      <c r="G137" s="11">
        <v>299737</v>
      </c>
      <c r="H137" s="11">
        <v>262200</v>
      </c>
    </row>
    <row r="138" spans="1:8" ht="12.75">
      <c r="A138" s="13">
        <v>1857</v>
      </c>
      <c r="B138" s="11">
        <v>170699</v>
      </c>
      <c r="C138" s="11">
        <v>169950</v>
      </c>
      <c r="D138" s="11">
        <v>221311</v>
      </c>
      <c r="E138" s="11">
        <v>219476</v>
      </c>
      <c r="F138" s="11">
        <v>229182</v>
      </c>
      <c r="G138" s="11">
        <v>224114</v>
      </c>
      <c r="H138" s="11">
        <v>244370</v>
      </c>
    </row>
    <row r="139" spans="1:8" ht="12.75">
      <c r="A139" s="13">
        <v>1867</v>
      </c>
      <c r="B139" s="11">
        <v>117937</v>
      </c>
      <c r="C139" s="11">
        <v>97547</v>
      </c>
      <c r="D139" s="11">
        <v>148150</v>
      </c>
      <c r="E139" s="11">
        <v>181539</v>
      </c>
      <c r="F139" s="11">
        <v>240191</v>
      </c>
      <c r="G139" s="11">
        <v>255892</v>
      </c>
      <c r="H139" s="11">
        <v>256949</v>
      </c>
    </row>
    <row r="140" spans="1:9" ht="12.75">
      <c r="A140" s="13">
        <v>1877</v>
      </c>
      <c r="B140" s="11">
        <v>34659</v>
      </c>
      <c r="C140" s="11">
        <v>38253</v>
      </c>
      <c r="D140" s="11">
        <v>38622</v>
      </c>
      <c r="E140" s="11">
        <v>61643</v>
      </c>
      <c r="F140" s="11">
        <v>126079</v>
      </c>
      <c r="G140" s="11">
        <v>161250</v>
      </c>
      <c r="H140" s="11">
        <v>271379</v>
      </c>
      <c r="I140" s="11">
        <v>187373</v>
      </c>
    </row>
    <row r="141" spans="1:9" ht="12.75">
      <c r="A141" s="13">
        <v>1887</v>
      </c>
      <c r="B141" s="11">
        <v>32005</v>
      </c>
      <c r="C141" s="11">
        <v>23645</v>
      </c>
      <c r="D141" s="11">
        <v>58074</v>
      </c>
      <c r="E141" s="11">
        <v>88415</v>
      </c>
      <c r="F141" s="11">
        <v>115271</v>
      </c>
      <c r="G141" s="11">
        <v>189048</v>
      </c>
      <c r="H141" s="11">
        <v>254809</v>
      </c>
      <c r="I141" s="11">
        <v>428401</v>
      </c>
    </row>
    <row r="142" spans="1:9" ht="12.75">
      <c r="A142" s="13">
        <v>1902</v>
      </c>
      <c r="B142" s="11">
        <v>27251</v>
      </c>
      <c r="C142" s="11">
        <v>37130</v>
      </c>
      <c r="D142" s="11">
        <v>73620</v>
      </c>
      <c r="E142" s="11">
        <v>91762</v>
      </c>
      <c r="F142" s="11">
        <v>155170</v>
      </c>
      <c r="G142" s="11">
        <v>219164</v>
      </c>
      <c r="H142" s="11">
        <v>230737</v>
      </c>
      <c r="I142" s="11">
        <v>236840</v>
      </c>
    </row>
    <row r="143" spans="1:9" ht="12.75">
      <c r="A143" s="13" t="s">
        <v>373</v>
      </c>
      <c r="B143" s="11">
        <v>35885.06885260017</v>
      </c>
      <c r="C143" s="11">
        <v>59206.97770528211</v>
      </c>
      <c r="D143" s="11">
        <v>84099.06894889555</v>
      </c>
      <c r="E143" s="11">
        <v>115734.29458099612</v>
      </c>
      <c r="F143" s="11">
        <v>130645.46159314815</v>
      </c>
      <c r="G143" s="11">
        <v>122058.84890243676</v>
      </c>
      <c r="H143" s="11">
        <v>121105.1045218849</v>
      </c>
      <c r="I143" s="11">
        <v>126168.39925284509</v>
      </c>
    </row>
    <row r="144" spans="1:9" ht="12.75">
      <c r="A144" t="s">
        <v>370</v>
      </c>
      <c r="C144" s="11">
        <v>175725</v>
      </c>
      <c r="D144" s="11">
        <v>738443</v>
      </c>
      <c r="E144" s="11">
        <v>1635432</v>
      </c>
      <c r="F144" s="11">
        <v>1425675</v>
      </c>
      <c r="G144" s="11">
        <v>1521290</v>
      </c>
      <c r="H144" s="11">
        <v>1560440</v>
      </c>
      <c r="I144" s="11">
        <v>1113441</v>
      </c>
    </row>
    <row r="145" spans="1:9" ht="12.75">
      <c r="A145" t="s">
        <v>371</v>
      </c>
      <c r="B145" s="11">
        <v>139072</v>
      </c>
      <c r="C145" s="11">
        <v>392465</v>
      </c>
      <c r="D145" s="11">
        <v>523464</v>
      </c>
      <c r="E145" s="11">
        <v>631946</v>
      </c>
      <c r="F145" s="11">
        <v>576133</v>
      </c>
      <c r="G145" s="11">
        <v>593420</v>
      </c>
      <c r="H145" s="11">
        <v>566289</v>
      </c>
      <c r="I145" s="11">
        <v>578424</v>
      </c>
    </row>
    <row r="147" spans="1:8" ht="12.75">
      <c r="A147" s="27" t="s">
        <v>413</v>
      </c>
      <c r="B147" t="s">
        <v>364</v>
      </c>
      <c r="C147" t="s">
        <v>365</v>
      </c>
      <c r="D147" t="s">
        <v>366</v>
      </c>
      <c r="E147" t="s">
        <v>367</v>
      </c>
      <c r="F147" t="s">
        <v>368</v>
      </c>
      <c r="G147" t="s">
        <v>369</v>
      </c>
      <c r="H147" t="s">
        <v>0</v>
      </c>
    </row>
    <row r="148" spans="1:8" ht="12.75">
      <c r="A148" s="13">
        <v>1817</v>
      </c>
      <c r="B148" s="11">
        <f aca="true" t="shared" si="33" ref="B148:H153">100*B134/$E134</f>
        <v>47.970846064449596</v>
      </c>
      <c r="C148" s="11">
        <f t="shared" si="33"/>
        <v>49.03679645350224</v>
      </c>
      <c r="D148" s="11">
        <f t="shared" si="33"/>
        <v>49.10529434853884</v>
      </c>
      <c r="E148" s="11">
        <f t="shared" si="33"/>
        <v>100</v>
      </c>
      <c r="F148" s="11">
        <f t="shared" si="33"/>
        <v>80.10867306493446</v>
      </c>
      <c r="G148" s="11">
        <f t="shared" si="33"/>
        <v>70.33040613864281</v>
      </c>
      <c r="H148" s="11">
        <f t="shared" si="33"/>
        <v>70.22342628010252</v>
      </c>
    </row>
    <row r="149" spans="1:8" ht="12.75">
      <c r="A149" s="13">
        <v>1827</v>
      </c>
      <c r="B149" s="11">
        <f t="shared" si="33"/>
        <v>49.18526006691217</v>
      </c>
      <c r="C149" s="11">
        <f t="shared" si="33"/>
        <v>46.27289575661299</v>
      </c>
      <c r="D149" s="11">
        <f t="shared" si="33"/>
        <v>72.68334657135293</v>
      </c>
      <c r="E149" s="11">
        <f t="shared" si="33"/>
        <v>100</v>
      </c>
      <c r="F149" s="11">
        <f t="shared" si="33"/>
        <v>93.65658170265002</v>
      </c>
      <c r="G149" s="11">
        <f t="shared" si="33"/>
        <v>98.75382097383687</v>
      </c>
      <c r="H149" s="11">
        <f t="shared" si="33"/>
        <v>62.83907382001107</v>
      </c>
    </row>
    <row r="150" spans="1:8" ht="12.75">
      <c r="A150" s="13">
        <v>1837</v>
      </c>
      <c r="B150" s="11">
        <f t="shared" si="33"/>
        <v>67.03719324331087</v>
      </c>
      <c r="C150" s="11">
        <f t="shared" si="33"/>
        <v>78.8492469136685</v>
      </c>
      <c r="D150" s="11">
        <f t="shared" si="33"/>
        <v>106.58655667626938</v>
      </c>
      <c r="E150" s="11">
        <f t="shared" si="33"/>
        <v>100</v>
      </c>
      <c r="F150" s="11">
        <f t="shared" si="33"/>
        <v>112.12301005783074</v>
      </c>
      <c r="G150" s="11">
        <f t="shared" si="33"/>
        <v>123.35246727809509</v>
      </c>
      <c r="H150" s="11">
        <f t="shared" si="33"/>
        <v>102.45262382855223</v>
      </c>
    </row>
    <row r="151" spans="1:8" ht="12.75">
      <c r="A151" s="13">
        <v>1847</v>
      </c>
      <c r="B151" s="11">
        <f t="shared" si="33"/>
        <v>77.78652425346257</v>
      </c>
      <c r="C151" s="11">
        <f t="shared" si="33"/>
        <v>73.40711242822745</v>
      </c>
      <c r="D151" s="11">
        <f t="shared" si="33"/>
        <v>101.68806980716593</v>
      </c>
      <c r="E151" s="11">
        <f t="shared" si="33"/>
        <v>100</v>
      </c>
      <c r="F151" s="11">
        <f t="shared" si="33"/>
        <v>117.19557119631207</v>
      </c>
      <c r="G151" s="11">
        <f t="shared" si="33"/>
        <v>154.21425778436335</v>
      </c>
      <c r="H151" s="11">
        <f t="shared" si="33"/>
        <v>134.9015249737606</v>
      </c>
    </row>
    <row r="152" spans="1:8" ht="12.75">
      <c r="A152" s="13">
        <v>1857</v>
      </c>
      <c r="B152" s="11">
        <f t="shared" si="33"/>
        <v>77.77570212688403</v>
      </c>
      <c r="C152" s="11">
        <f t="shared" si="33"/>
        <v>77.43443474457344</v>
      </c>
      <c r="D152" s="11">
        <f t="shared" si="33"/>
        <v>100.83608230512675</v>
      </c>
      <c r="E152" s="11">
        <f t="shared" si="33"/>
        <v>100</v>
      </c>
      <c r="F152" s="11">
        <f t="shared" si="33"/>
        <v>104.42235141883395</v>
      </c>
      <c r="G152" s="11">
        <f t="shared" si="33"/>
        <v>102.11321511235853</v>
      </c>
      <c r="H152" s="11">
        <f t="shared" si="33"/>
        <v>111.34247024731634</v>
      </c>
    </row>
    <row r="153" spans="1:8" ht="12.75">
      <c r="A153" s="13">
        <v>1867</v>
      </c>
      <c r="B153" s="11">
        <f t="shared" si="33"/>
        <v>64.96510391706465</v>
      </c>
      <c r="C153" s="11">
        <f t="shared" si="33"/>
        <v>53.73335757054958</v>
      </c>
      <c r="D153" s="11">
        <f t="shared" si="33"/>
        <v>81.60780879039766</v>
      </c>
      <c r="E153" s="11">
        <f t="shared" si="33"/>
        <v>100</v>
      </c>
      <c r="F153" s="11">
        <f t="shared" si="33"/>
        <v>132.30820925531154</v>
      </c>
      <c r="G153" s="11">
        <f t="shared" si="33"/>
        <v>140.95703953420477</v>
      </c>
      <c r="H153" s="11">
        <f t="shared" si="33"/>
        <v>141.53928356992162</v>
      </c>
    </row>
    <row r="154" spans="1:9" ht="12.75">
      <c r="A154" s="13">
        <v>1877</v>
      </c>
      <c r="B154" s="11">
        <f aca="true" t="shared" si="34" ref="B154:I154">100*B140/$E140</f>
        <v>56.225362166020474</v>
      </c>
      <c r="C154" s="11">
        <f t="shared" si="34"/>
        <v>62.05570786626219</v>
      </c>
      <c r="D154" s="11">
        <f t="shared" si="34"/>
        <v>62.65431598072774</v>
      </c>
      <c r="E154" s="11">
        <f t="shared" si="34"/>
        <v>100</v>
      </c>
      <c r="F154" s="11">
        <f t="shared" si="34"/>
        <v>204.53092808591404</v>
      </c>
      <c r="G154" s="11">
        <f t="shared" si="34"/>
        <v>261.5868792888081</v>
      </c>
      <c r="H154" s="11">
        <f t="shared" si="34"/>
        <v>440.243012183054</v>
      </c>
      <c r="I154" s="11">
        <f t="shared" si="34"/>
        <v>303.9647648557014</v>
      </c>
    </row>
    <row r="155" spans="1:9" ht="12.75">
      <c r="A155" s="13">
        <v>1887</v>
      </c>
      <c r="B155" s="11">
        <f aca="true" t="shared" si="35" ref="B155:I155">100*B141/$E141</f>
        <v>36.19860883334276</v>
      </c>
      <c r="C155" s="11">
        <f t="shared" si="35"/>
        <v>26.743199683311655</v>
      </c>
      <c r="D155" s="11">
        <f t="shared" si="35"/>
        <v>65.68342475824238</v>
      </c>
      <c r="E155" s="11">
        <f t="shared" si="35"/>
        <v>100</v>
      </c>
      <c r="F155" s="11">
        <f t="shared" si="35"/>
        <v>130.3749363795736</v>
      </c>
      <c r="G155" s="11">
        <f t="shared" si="35"/>
        <v>213.81892212859808</v>
      </c>
      <c r="H155" s="11">
        <f t="shared" si="35"/>
        <v>288.19657297969803</v>
      </c>
      <c r="I155" s="11">
        <f t="shared" si="35"/>
        <v>484.5342984787649</v>
      </c>
    </row>
    <row r="156" spans="1:9" ht="12.75">
      <c r="A156" s="13">
        <v>1902</v>
      </c>
      <c r="B156" s="11">
        <f aca="true" t="shared" si="36" ref="B156:I157">100*B142/$E142</f>
        <v>29.697478258974304</v>
      </c>
      <c r="C156" s="11">
        <f t="shared" si="36"/>
        <v>40.46337263791112</v>
      </c>
      <c r="D156" s="11">
        <f t="shared" si="36"/>
        <v>80.22928881236241</v>
      </c>
      <c r="E156" s="11">
        <f t="shared" si="36"/>
        <v>100</v>
      </c>
      <c r="F156" s="11">
        <f t="shared" si="36"/>
        <v>169.10049911728166</v>
      </c>
      <c r="G156" s="11">
        <f t="shared" si="36"/>
        <v>238.83960680891872</v>
      </c>
      <c r="H156" s="11">
        <f t="shared" si="36"/>
        <v>251.45158126457574</v>
      </c>
      <c r="I156" s="11">
        <f t="shared" si="36"/>
        <v>258.1024825090996</v>
      </c>
    </row>
    <row r="157" spans="1:9" ht="12.75">
      <c r="A157" s="13" t="s">
        <v>373</v>
      </c>
      <c r="B157" s="11">
        <f t="shared" si="36"/>
        <v>31.006426385988956</v>
      </c>
      <c r="C157" s="11">
        <f t="shared" si="36"/>
        <v>51.15767795503897</v>
      </c>
      <c r="D157" s="11">
        <f t="shared" si="36"/>
        <v>72.66564267174861</v>
      </c>
      <c r="E157" s="11">
        <f t="shared" si="36"/>
        <v>100</v>
      </c>
      <c r="F157" s="11">
        <f t="shared" si="36"/>
        <v>112.88396586866179</v>
      </c>
      <c r="G157" s="11">
        <f t="shared" si="36"/>
        <v>105.46471929028299</v>
      </c>
      <c r="H157" s="11">
        <f t="shared" si="36"/>
        <v>104.64063824844074</v>
      </c>
      <c r="I157" s="11">
        <f t="shared" si="36"/>
        <v>109.01556855694723</v>
      </c>
    </row>
    <row r="158" spans="1:9" ht="12.75">
      <c r="A158" t="s">
        <v>370</v>
      </c>
      <c r="B158" s="11"/>
      <c r="C158" s="11">
        <f aca="true" t="shared" si="37" ref="C158:I159">100*C144/$E144</f>
        <v>10.744867411179431</v>
      </c>
      <c r="D158" s="11">
        <f t="shared" si="37"/>
        <v>45.152779204515994</v>
      </c>
      <c r="E158" s="11">
        <f t="shared" si="37"/>
        <v>100</v>
      </c>
      <c r="F158" s="11">
        <f t="shared" si="37"/>
        <v>87.17421451946642</v>
      </c>
      <c r="G158" s="11">
        <f t="shared" si="37"/>
        <v>93.02068199717262</v>
      </c>
      <c r="H158" s="11">
        <f t="shared" si="37"/>
        <v>95.4145449031204</v>
      </c>
      <c r="I158" s="11">
        <f t="shared" si="37"/>
        <v>68.08237823400789</v>
      </c>
    </row>
    <row r="159" spans="1:9" ht="12.75">
      <c r="A159" t="s">
        <v>371</v>
      </c>
      <c r="B159" s="11">
        <f>100*B145/$E145</f>
        <v>22.006943631259634</v>
      </c>
      <c r="C159" s="11">
        <f t="shared" si="37"/>
        <v>62.10419877647774</v>
      </c>
      <c r="D159" s="11">
        <f t="shared" si="37"/>
        <v>82.83365983802413</v>
      </c>
      <c r="E159" s="11">
        <f t="shared" si="37"/>
        <v>100</v>
      </c>
      <c r="F159" s="11">
        <f t="shared" si="37"/>
        <v>91.16807448737708</v>
      </c>
      <c r="G159" s="11">
        <f t="shared" si="37"/>
        <v>93.90359302851826</v>
      </c>
      <c r="H159" s="11">
        <f t="shared" si="37"/>
        <v>89.61034645365268</v>
      </c>
      <c r="I159" s="11">
        <f t="shared" si="37"/>
        <v>91.53060546312501</v>
      </c>
    </row>
    <row r="160" ht="12.75">
      <c r="A160" s="1" t="s">
        <v>453</v>
      </c>
    </row>
    <row r="161" ht="12.75">
      <c r="A161" s="1"/>
    </row>
    <row r="162" ht="12.75">
      <c r="A162" s="25" t="s">
        <v>451</v>
      </c>
    </row>
    <row r="163" spans="1:9" ht="12.75">
      <c r="A163" s="27" t="s">
        <v>414</v>
      </c>
      <c r="B163" s="13" t="s">
        <v>364</v>
      </c>
      <c r="C163" s="13" t="s">
        <v>365</v>
      </c>
      <c r="D163" s="13" t="s">
        <v>366</v>
      </c>
      <c r="E163" s="13" t="s">
        <v>367</v>
      </c>
      <c r="F163" s="13" t="s">
        <v>368</v>
      </c>
      <c r="G163" s="13" t="s">
        <v>369</v>
      </c>
      <c r="H163" s="13" t="s">
        <v>0</v>
      </c>
      <c r="I163" s="13" t="s">
        <v>372</v>
      </c>
    </row>
    <row r="164" spans="1:8" ht="12.75">
      <c r="A164" s="13">
        <v>1817</v>
      </c>
      <c r="B164" s="11">
        <v>64376</v>
      </c>
      <c r="C164" s="11">
        <v>65516</v>
      </c>
      <c r="D164" s="11">
        <v>66474</v>
      </c>
      <c r="E164" s="11">
        <v>132928</v>
      </c>
      <c r="F164" s="11">
        <v>116739</v>
      </c>
      <c r="G164" s="11">
        <v>94215</v>
      </c>
      <c r="H164" s="11">
        <v>92271</v>
      </c>
    </row>
    <row r="165" spans="1:8" ht="12.75">
      <c r="A165" s="13">
        <v>1827</v>
      </c>
      <c r="B165" s="11">
        <v>86717</v>
      </c>
      <c r="C165" s="11">
        <v>82130</v>
      </c>
      <c r="D165" s="11">
        <v>134996</v>
      </c>
      <c r="E165" s="11">
        <v>177942</v>
      </c>
      <c r="F165" s="11">
        <v>169997</v>
      </c>
      <c r="G165" s="11">
        <v>172789</v>
      </c>
      <c r="H165" s="11">
        <v>122205</v>
      </c>
    </row>
    <row r="166" spans="1:8" ht="12.75">
      <c r="A166" s="13">
        <v>1837</v>
      </c>
      <c r="B166" s="11">
        <v>121994</v>
      </c>
      <c r="C166" s="11">
        <v>125883</v>
      </c>
      <c r="D166" s="11">
        <v>170205</v>
      </c>
      <c r="E166" s="11">
        <v>153095</v>
      </c>
      <c r="F166" s="11">
        <v>174925</v>
      </c>
      <c r="G166" s="11">
        <v>194047</v>
      </c>
      <c r="H166" s="11">
        <v>165695</v>
      </c>
    </row>
    <row r="167" spans="1:8" ht="12.75">
      <c r="A167" s="13">
        <v>1847</v>
      </c>
      <c r="B167" s="11">
        <v>155839</v>
      </c>
      <c r="C167" s="11">
        <v>153197</v>
      </c>
      <c r="D167" s="11">
        <v>222811</v>
      </c>
      <c r="E167" s="11">
        <v>197951</v>
      </c>
      <c r="F167" s="11">
        <v>236398</v>
      </c>
      <c r="G167" s="11">
        <v>317228</v>
      </c>
      <c r="H167" s="11">
        <v>253960</v>
      </c>
    </row>
    <row r="168" spans="1:8" ht="12.75">
      <c r="A168" s="13">
        <v>1857</v>
      </c>
      <c r="B168" s="11">
        <v>374477</v>
      </c>
      <c r="C168" s="11">
        <v>216153</v>
      </c>
      <c r="D168" s="11">
        <v>258141</v>
      </c>
      <c r="E168" s="11">
        <v>294920</v>
      </c>
      <c r="F168" s="11">
        <v>283369</v>
      </c>
      <c r="G168" s="11">
        <v>262960</v>
      </c>
      <c r="H168" s="11">
        <v>270537</v>
      </c>
    </row>
    <row r="169" spans="1:8" ht="12.75">
      <c r="A169" s="13">
        <v>1867</v>
      </c>
      <c r="B169" s="11">
        <v>198196</v>
      </c>
      <c r="C169" s="11">
        <v>187861</v>
      </c>
      <c r="D169" s="11">
        <v>301235</v>
      </c>
      <c r="E169" s="11">
        <v>293896</v>
      </c>
      <c r="F169" s="11">
        <v>361281</v>
      </c>
      <c r="G169" s="11">
        <v>351827</v>
      </c>
      <c r="H169" s="11">
        <v>356213</v>
      </c>
    </row>
    <row r="170" spans="1:9" ht="12.75">
      <c r="A170" s="13">
        <v>1877</v>
      </c>
      <c r="B170" s="11">
        <v>310350</v>
      </c>
      <c r="C170" s="11">
        <v>469629</v>
      </c>
      <c r="D170" s="11">
        <v>357717</v>
      </c>
      <c r="E170" s="11">
        <v>383115</v>
      </c>
      <c r="F170" s="11">
        <v>547384</v>
      </c>
      <c r="G170" s="11">
        <v>643354</v>
      </c>
      <c r="H170" s="11">
        <v>841110</v>
      </c>
      <c r="I170" s="11"/>
    </row>
    <row r="171" spans="1:9" ht="12.75">
      <c r="A171" s="13">
        <v>1887</v>
      </c>
      <c r="B171" s="11">
        <v>334545</v>
      </c>
      <c r="C171" s="11">
        <v>277861</v>
      </c>
      <c r="D171" s="11">
        <v>491142</v>
      </c>
      <c r="E171" s="11">
        <v>539412</v>
      </c>
      <c r="F171" s="11">
        <v>548869</v>
      </c>
      <c r="G171" s="11">
        <v>665566</v>
      </c>
      <c r="H171" s="11">
        <v>782039</v>
      </c>
      <c r="I171" s="11"/>
    </row>
    <row r="172" spans="1:9" ht="12.75">
      <c r="A172" s="13">
        <v>1902</v>
      </c>
      <c r="B172" s="11">
        <v>335298</v>
      </c>
      <c r="C172" s="11">
        <v>607485</v>
      </c>
      <c r="D172" s="11">
        <v>477872</v>
      </c>
      <c r="E172" s="11">
        <v>471306</v>
      </c>
      <c r="F172" s="11">
        <v>684284</v>
      </c>
      <c r="G172" s="11">
        <v>852116</v>
      </c>
      <c r="H172" s="11">
        <v>809687</v>
      </c>
      <c r="I172" s="11"/>
    </row>
    <row r="173" spans="1:9" ht="12.75">
      <c r="A173" s="13" t="s">
        <v>373</v>
      </c>
      <c r="B173" s="11">
        <v>35885.06885260017</v>
      </c>
      <c r="C173" s="11">
        <v>59206.97770528211</v>
      </c>
      <c r="D173" s="11">
        <v>84099.06894889555</v>
      </c>
      <c r="E173" s="11">
        <v>115734.29458099612</v>
      </c>
      <c r="F173" s="11">
        <v>130645.46159314815</v>
      </c>
      <c r="G173" s="11">
        <v>122058.84890243676</v>
      </c>
      <c r="H173" s="11">
        <v>121105.1045218849</v>
      </c>
      <c r="I173" s="11">
        <v>126168.39925284509</v>
      </c>
    </row>
    <row r="174" spans="1:9" ht="12.75">
      <c r="A174" t="s">
        <v>370</v>
      </c>
      <c r="C174" s="11">
        <v>175725</v>
      </c>
      <c r="D174" s="11">
        <v>738443</v>
      </c>
      <c r="E174" s="11">
        <v>1635432</v>
      </c>
      <c r="F174" s="11">
        <v>1425675</v>
      </c>
      <c r="G174" s="11">
        <v>1521290</v>
      </c>
      <c r="H174" s="11">
        <v>1560440</v>
      </c>
      <c r="I174" s="11">
        <v>1113441</v>
      </c>
    </row>
    <row r="175" spans="1:9" ht="12.75">
      <c r="A175" t="s">
        <v>371</v>
      </c>
      <c r="B175" s="11">
        <v>139072</v>
      </c>
      <c r="C175" s="11">
        <v>392465</v>
      </c>
      <c r="D175" s="11">
        <v>523464</v>
      </c>
      <c r="E175" s="11">
        <v>631946</v>
      </c>
      <c r="F175" s="11">
        <v>576133</v>
      </c>
      <c r="G175" s="11">
        <v>593420</v>
      </c>
      <c r="H175" s="11">
        <v>566289</v>
      </c>
      <c r="I175" s="11">
        <v>578424</v>
      </c>
    </row>
    <row r="177" spans="1:8" ht="12.75">
      <c r="A177" s="27" t="s">
        <v>414</v>
      </c>
      <c r="B177" t="s">
        <v>364</v>
      </c>
      <c r="C177" t="s">
        <v>365</v>
      </c>
      <c r="D177" t="s">
        <v>366</v>
      </c>
      <c r="E177" t="s">
        <v>367</v>
      </c>
      <c r="F177" t="s">
        <v>368</v>
      </c>
      <c r="G177" t="s">
        <v>369</v>
      </c>
      <c r="H177" t="s">
        <v>0</v>
      </c>
    </row>
    <row r="178" spans="1:8" ht="12.75">
      <c r="A178" s="13">
        <v>1817</v>
      </c>
      <c r="B178" s="11">
        <f>100*B164/$E164</f>
        <v>48.42922484352432</v>
      </c>
      <c r="C178" s="11">
        <f aca="true" t="shared" si="38" ref="C178:H178">100*C164/$E164</f>
        <v>49.28683196918632</v>
      </c>
      <c r="D178" s="11">
        <f t="shared" si="38"/>
        <v>50.00752286952335</v>
      </c>
      <c r="E178" s="11">
        <f t="shared" si="38"/>
        <v>100</v>
      </c>
      <c r="F178" s="11">
        <f t="shared" si="38"/>
        <v>87.82122652864709</v>
      </c>
      <c r="G178" s="11">
        <f t="shared" si="38"/>
        <v>70.87671521425132</v>
      </c>
      <c r="H178" s="11">
        <f t="shared" si="38"/>
        <v>69.4142693789119</v>
      </c>
    </row>
    <row r="179" spans="1:8" ht="12.75">
      <c r="A179" s="13">
        <v>1827</v>
      </c>
      <c r="B179" s="11">
        <f>100*B165/$E165</f>
        <v>48.73329511863416</v>
      </c>
      <c r="C179" s="11">
        <f aca="true" t="shared" si="39" ref="C179:H179">100*C165/$E165</f>
        <v>46.155488867158965</v>
      </c>
      <c r="D179" s="11">
        <f t="shared" si="39"/>
        <v>75.86516954962853</v>
      </c>
      <c r="E179" s="11">
        <f t="shared" si="39"/>
        <v>100</v>
      </c>
      <c r="F179" s="11">
        <f t="shared" si="39"/>
        <v>95.53506198648998</v>
      </c>
      <c r="G179" s="11">
        <f t="shared" si="39"/>
        <v>97.1041125760079</v>
      </c>
      <c r="H179" s="11">
        <f t="shared" si="39"/>
        <v>68.67687223926897</v>
      </c>
    </row>
    <row r="180" spans="1:8" ht="12.75">
      <c r="A180" s="13">
        <v>1837</v>
      </c>
      <c r="B180" s="11">
        <f>100*B166/$E166</f>
        <v>79.68516280740717</v>
      </c>
      <c r="C180" s="11">
        <f aca="true" t="shared" si="40" ref="C180:H180">100*C166/$E166</f>
        <v>82.22541559162612</v>
      </c>
      <c r="D180" s="11">
        <f t="shared" si="40"/>
        <v>111.17606714784938</v>
      </c>
      <c r="E180" s="11">
        <f t="shared" si="40"/>
        <v>100</v>
      </c>
      <c r="F180" s="11">
        <f t="shared" si="40"/>
        <v>114.25912015415265</v>
      </c>
      <c r="G180" s="11">
        <f t="shared" si="40"/>
        <v>126.74940396485842</v>
      </c>
      <c r="H180" s="11">
        <f t="shared" si="40"/>
        <v>108.23018387275874</v>
      </c>
    </row>
    <row r="181" spans="1:8" ht="12.75">
      <c r="A181" s="13">
        <v>1847</v>
      </c>
      <c r="B181" s="11">
        <f>100*B167/$E167</f>
        <v>78.7260483655046</v>
      </c>
      <c r="C181" s="11">
        <f aca="true" t="shared" si="41" ref="C181:H181">100*C167/$E167</f>
        <v>77.39137463311627</v>
      </c>
      <c r="D181" s="11">
        <f t="shared" si="41"/>
        <v>112.55866350763573</v>
      </c>
      <c r="E181" s="11">
        <f t="shared" si="41"/>
        <v>100</v>
      </c>
      <c r="F181" s="11">
        <f t="shared" si="41"/>
        <v>119.42248334183712</v>
      </c>
      <c r="G181" s="11">
        <f t="shared" si="41"/>
        <v>160.25582088496648</v>
      </c>
      <c r="H181" s="11">
        <f t="shared" si="41"/>
        <v>128.29437588089982</v>
      </c>
    </row>
    <row r="182" spans="1:8" ht="12.75">
      <c r="A182" s="13">
        <v>1857</v>
      </c>
      <c r="B182" s="11">
        <f aca="true" t="shared" si="42" ref="B182:H182">100*B168/$E168</f>
        <v>126.9757900447579</v>
      </c>
      <c r="C182" s="11">
        <f t="shared" si="42"/>
        <v>73.29207920792079</v>
      </c>
      <c r="D182" s="11">
        <f t="shared" si="42"/>
        <v>87.5291604502916</v>
      </c>
      <c r="E182" s="11">
        <f t="shared" si="42"/>
        <v>100</v>
      </c>
      <c r="F182" s="11">
        <f t="shared" si="42"/>
        <v>96.08334463583344</v>
      </c>
      <c r="G182" s="11">
        <f t="shared" si="42"/>
        <v>89.16316289163163</v>
      </c>
      <c r="H182" s="11">
        <f t="shared" si="42"/>
        <v>91.73233419232334</v>
      </c>
    </row>
    <row r="183" spans="1:8" ht="12.75">
      <c r="A183" s="13">
        <v>1867</v>
      </c>
      <c r="B183" s="11">
        <f aca="true" t="shared" si="43" ref="B183:H183">100*B169/$E169</f>
        <v>67.43746087051201</v>
      </c>
      <c r="C183" s="11">
        <f t="shared" si="43"/>
        <v>63.920910798377655</v>
      </c>
      <c r="D183" s="11">
        <f t="shared" si="43"/>
        <v>102.49714184609522</v>
      </c>
      <c r="E183" s="11">
        <f t="shared" si="43"/>
        <v>100</v>
      </c>
      <c r="F183" s="11">
        <f t="shared" si="43"/>
        <v>122.92817867544981</v>
      </c>
      <c r="G183" s="11">
        <f t="shared" si="43"/>
        <v>119.7113945069004</v>
      </c>
      <c r="H183" s="11">
        <f t="shared" si="43"/>
        <v>121.20375915289762</v>
      </c>
    </row>
    <row r="184" spans="1:9" ht="12.75">
      <c r="A184" s="13">
        <v>1877</v>
      </c>
      <c r="B184" s="11">
        <f aca="true" t="shared" si="44" ref="B184:H184">100*B170/$E170</f>
        <v>81.00700833953252</v>
      </c>
      <c r="C184" s="11">
        <f t="shared" si="44"/>
        <v>122.58173133393367</v>
      </c>
      <c r="D184" s="11">
        <f t="shared" si="44"/>
        <v>93.370658940527</v>
      </c>
      <c r="E184" s="11">
        <f t="shared" si="44"/>
        <v>100</v>
      </c>
      <c r="F184" s="11">
        <f t="shared" si="44"/>
        <v>142.8772039726975</v>
      </c>
      <c r="G184" s="11">
        <f t="shared" si="44"/>
        <v>167.92712370959111</v>
      </c>
      <c r="H184" s="11">
        <f t="shared" si="44"/>
        <v>219.5450452214087</v>
      </c>
      <c r="I184" s="11"/>
    </row>
    <row r="185" spans="1:9" ht="12.75">
      <c r="A185" s="13">
        <v>1887</v>
      </c>
      <c r="B185" s="11">
        <f aca="true" t="shared" si="45" ref="B185:H185">100*B171/$E171</f>
        <v>62.0203110053169</v>
      </c>
      <c r="C185" s="11">
        <f t="shared" si="45"/>
        <v>51.51183140160026</v>
      </c>
      <c r="D185" s="11">
        <f t="shared" si="45"/>
        <v>91.0513670441147</v>
      </c>
      <c r="E185" s="11">
        <f t="shared" si="45"/>
        <v>100</v>
      </c>
      <c r="F185" s="11">
        <f t="shared" si="45"/>
        <v>101.75320534211326</v>
      </c>
      <c r="G185" s="11">
        <f t="shared" si="45"/>
        <v>123.38731804260937</v>
      </c>
      <c r="H185" s="11">
        <f t="shared" si="45"/>
        <v>144.97990404366234</v>
      </c>
      <c r="I185" s="11"/>
    </row>
    <row r="186" spans="1:9" ht="12.75">
      <c r="A186" s="13">
        <v>1902</v>
      </c>
      <c r="B186" s="11">
        <f aca="true" t="shared" si="46" ref="B186:H186">100*B172/$E172</f>
        <v>71.14231518376596</v>
      </c>
      <c r="C186" s="11">
        <f t="shared" si="46"/>
        <v>128.89396697686854</v>
      </c>
      <c r="D186" s="11">
        <f t="shared" si="46"/>
        <v>101.3931500978133</v>
      </c>
      <c r="E186" s="11">
        <f t="shared" si="46"/>
        <v>100</v>
      </c>
      <c r="F186" s="11">
        <f t="shared" si="46"/>
        <v>145.18890062931513</v>
      </c>
      <c r="G186" s="11">
        <f t="shared" si="46"/>
        <v>180.79888649836838</v>
      </c>
      <c r="H186" s="11">
        <f t="shared" si="46"/>
        <v>171.79645495707672</v>
      </c>
      <c r="I186" s="11"/>
    </row>
    <row r="187" spans="1:9" ht="12.75">
      <c r="A187" s="13" t="s">
        <v>373</v>
      </c>
      <c r="B187" s="11">
        <f aca="true" t="shared" si="47" ref="B187:I187">100*B173/$E173</f>
        <v>31.006426385988956</v>
      </c>
      <c r="C187" s="11">
        <f t="shared" si="47"/>
        <v>51.15767795503897</v>
      </c>
      <c r="D187" s="11">
        <f t="shared" si="47"/>
        <v>72.66564267174861</v>
      </c>
      <c r="E187" s="11">
        <f t="shared" si="47"/>
        <v>100</v>
      </c>
      <c r="F187" s="11">
        <f t="shared" si="47"/>
        <v>112.88396586866179</v>
      </c>
      <c r="G187" s="11">
        <f t="shared" si="47"/>
        <v>105.46471929028299</v>
      </c>
      <c r="H187" s="11">
        <f t="shared" si="47"/>
        <v>104.64063824844074</v>
      </c>
      <c r="I187" s="11">
        <f t="shared" si="47"/>
        <v>109.01556855694723</v>
      </c>
    </row>
    <row r="188" spans="1:9" ht="12.75">
      <c r="A188" t="s">
        <v>370</v>
      </c>
      <c r="B188" s="11"/>
      <c r="C188" s="11">
        <f aca="true" t="shared" si="48" ref="C188:I188">100*C174/$E174</f>
        <v>10.744867411179431</v>
      </c>
      <c r="D188" s="11">
        <f t="shared" si="48"/>
        <v>45.152779204515994</v>
      </c>
      <c r="E188" s="11">
        <f t="shared" si="48"/>
        <v>100</v>
      </c>
      <c r="F188" s="11">
        <f t="shared" si="48"/>
        <v>87.17421451946642</v>
      </c>
      <c r="G188" s="11">
        <f t="shared" si="48"/>
        <v>93.02068199717262</v>
      </c>
      <c r="H188" s="11">
        <f t="shared" si="48"/>
        <v>95.4145449031204</v>
      </c>
      <c r="I188" s="11">
        <f t="shared" si="48"/>
        <v>68.08237823400789</v>
      </c>
    </row>
    <row r="189" spans="1:9" ht="12.75">
      <c r="A189" t="s">
        <v>371</v>
      </c>
      <c r="B189" s="11">
        <f aca="true" t="shared" si="49" ref="B189:I189">100*B175/$E175</f>
        <v>22.006943631259634</v>
      </c>
      <c r="C189" s="11">
        <f t="shared" si="49"/>
        <v>62.10419877647774</v>
      </c>
      <c r="D189" s="11">
        <f t="shared" si="49"/>
        <v>82.83365983802413</v>
      </c>
      <c r="E189" s="11">
        <f t="shared" si="49"/>
        <v>100</v>
      </c>
      <c r="F189" s="11">
        <f t="shared" si="49"/>
        <v>91.16807448737708</v>
      </c>
      <c r="G189" s="11">
        <f t="shared" si="49"/>
        <v>93.90359302851826</v>
      </c>
      <c r="H189" s="11">
        <f t="shared" si="49"/>
        <v>89.61034645365268</v>
      </c>
      <c r="I189" s="11">
        <f t="shared" si="49"/>
        <v>91.53060546312501</v>
      </c>
    </row>
    <row r="190" ht="12.75">
      <c r="A190" s="1" t="s">
        <v>415</v>
      </c>
    </row>
    <row r="191" ht="12.75">
      <c r="A191" s="1" t="s">
        <v>416</v>
      </c>
    </row>
    <row r="192" ht="12.75">
      <c r="A192" s="1"/>
    </row>
    <row r="193" ht="12.75">
      <c r="A193" s="1"/>
    </row>
    <row r="194" ht="12.75">
      <c r="A194" s="25" t="s">
        <v>462</v>
      </c>
    </row>
    <row r="195" spans="1:9" ht="12.75">
      <c r="A195" s="27" t="s">
        <v>414</v>
      </c>
      <c r="B195" s="13" t="s">
        <v>364</v>
      </c>
      <c r="C195" s="13" t="s">
        <v>365</v>
      </c>
      <c r="D195" s="13" t="s">
        <v>366</v>
      </c>
      <c r="E195" s="13" t="s">
        <v>367</v>
      </c>
      <c r="F195" s="13" t="s">
        <v>368</v>
      </c>
      <c r="G195" s="13" t="s">
        <v>369</v>
      </c>
      <c r="H195" s="13" t="s">
        <v>0</v>
      </c>
      <c r="I195" s="13" t="s">
        <v>467</v>
      </c>
    </row>
    <row r="196" spans="1:10" ht="12.75">
      <c r="A196" s="13">
        <v>1817</v>
      </c>
      <c r="B196" s="10">
        <f aca="true" t="shared" si="50" ref="B196:B201">B207*$E196/100</f>
        <v>1643.35106260812</v>
      </c>
      <c r="C196" s="10">
        <f aca="true" t="shared" si="51" ref="C196:D200">C207*$E196/100</f>
        <v>1672.4522837366965</v>
      </c>
      <c r="D196" s="10">
        <f t="shared" si="51"/>
        <v>1696.907520439483</v>
      </c>
      <c r="E196" s="10">
        <f>10000*I196/SUMPRODUCT(B207:H207,EstateMultiplier18171902!Q28:W28)</f>
        <v>3393.304493139868</v>
      </c>
      <c r="F196" s="10">
        <f aca="true" t="shared" si="52" ref="F196:F201">F207*$E196/100</f>
        <v>2980.0416257271236</v>
      </c>
      <c r="G196" s="10">
        <f aca="true" t="shared" si="53" ref="G196:H200">G207*$E196/100</f>
        <v>2405.0627619551383</v>
      </c>
      <c r="H196" s="10">
        <f t="shared" si="53"/>
        <v>2355.437521714829</v>
      </c>
      <c r="I196" s="11">
        <f>('Res1807-1913'!C56*'Res1807-1913'!H56-0.05*'Res1807-1913'!C56*'Res1807-1913'!E154)/('Res1807-1913'!E56-0.05*'Res1807-1913'!C56)</f>
        <v>2544.6673213039585</v>
      </c>
      <c r="J196" s="10">
        <f>SUMPRODUCT(B196:H196,EstateMultiplier18171902!Q28:W28)/100</f>
        <v>2544.6673213039585</v>
      </c>
    </row>
    <row r="197" spans="1:10" ht="12.75">
      <c r="A197" s="13">
        <v>1827</v>
      </c>
      <c r="B197" s="10">
        <f t="shared" si="50"/>
        <v>2642.5406366440902</v>
      </c>
      <c r="C197" s="10">
        <f t="shared" si="51"/>
        <v>2502.7602717757663</v>
      </c>
      <c r="D197" s="10">
        <f t="shared" si="51"/>
        <v>4113.754117236593</v>
      </c>
      <c r="E197" s="10">
        <f>10000*I197/SUMPRODUCT(B208:H208,EstateMultiplier18171902!Q48:W48)</f>
        <v>5422.454258861846</v>
      </c>
      <c r="F197" s="10">
        <f t="shared" si="52"/>
        <v>5180.345037392731</v>
      </c>
      <c r="G197" s="10">
        <f t="shared" si="53"/>
        <v>5265.426087907743</v>
      </c>
      <c r="H197" s="10">
        <f t="shared" si="53"/>
        <v>3723.9719835913497</v>
      </c>
      <c r="I197" s="11">
        <f>('Res1807-1913'!C57*'Res1807-1913'!H57-0.05*'Res1807-1913'!C57*'Res1807-1913'!E155)/('Res1807-1913'!E57-0.05*'Res1807-1913'!C57)</f>
        <v>4612.276213478263</v>
      </c>
      <c r="J197" s="10">
        <f>SUMPRODUCT(B197:H197,EstateMultiplier18171902!Q48:W48)/100</f>
        <v>4612.276213478263</v>
      </c>
    </row>
    <row r="198" spans="1:10" ht="12.75">
      <c r="A198" s="13">
        <v>1837</v>
      </c>
      <c r="B198" s="10">
        <f t="shared" si="50"/>
        <v>3272.1952976151406</v>
      </c>
      <c r="C198" s="10">
        <f t="shared" si="51"/>
        <v>3376.5083581953763</v>
      </c>
      <c r="D198" s="10">
        <f t="shared" si="51"/>
        <v>4565.339284149917</v>
      </c>
      <c r="E198" s="10">
        <f>10000*I198/SUMPRODUCT(B209:H209,EstateMultiplier18171902!Q68:W68)</f>
        <v>4106.4047337442</v>
      </c>
      <c r="F198" s="10">
        <f t="shared" si="52"/>
        <v>4691.941918744598</v>
      </c>
      <c r="G198" s="10">
        <f t="shared" si="53"/>
        <v>5204.8435244055045</v>
      </c>
      <c r="H198" s="10">
        <f t="shared" si="53"/>
        <v>4444.369393891016</v>
      </c>
      <c r="I198" s="11">
        <f>('Res1807-1913'!C58*'Res1807-1913'!H58-0.05*'Res1807-1913'!C58*'Res1807-1913'!E156)/('Res1807-1913'!E58-0.05*'Res1807-1913'!C58)</f>
        <v>4498.129603763874</v>
      </c>
      <c r="J198" s="10">
        <f>SUMPRODUCT(B198:H198,EstateMultiplier18171902!Q68:W68)/100</f>
        <v>4498.129603763875</v>
      </c>
    </row>
    <row r="199" spans="1:10" ht="12.75">
      <c r="A199" s="13">
        <v>1847</v>
      </c>
      <c r="B199" s="10">
        <f t="shared" si="50"/>
        <v>3655.576068262407</v>
      </c>
      <c r="C199" s="10">
        <f t="shared" si="51"/>
        <v>3593.6016461193663</v>
      </c>
      <c r="D199" s="10">
        <f t="shared" si="51"/>
        <v>5226.564334637767</v>
      </c>
      <c r="E199" s="10">
        <f>10000*I199/SUMPRODUCT(B210:H210,EstateMultiplier18171902!Q88:W88)</f>
        <v>4643.413640286524</v>
      </c>
      <c r="F199" s="10">
        <f t="shared" si="52"/>
        <v>5545.279881063767</v>
      </c>
      <c r="G199" s="10">
        <f t="shared" si="53"/>
        <v>7441.340646325674</v>
      </c>
      <c r="H199" s="10">
        <f t="shared" si="53"/>
        <v>5957.238549374168</v>
      </c>
      <c r="I199" s="11">
        <f>('Res1807-1913'!C59*'Res1807-1913'!H59-0.05*'Res1807-1913'!C59*'Res1807-1913'!E157)/('Res1807-1913'!E59-0.05*'Res1807-1913'!C59)</f>
        <v>5614.849265788424</v>
      </c>
      <c r="J199" s="10">
        <f>SUMPRODUCT(B199:H199,EstateMultiplier18171902!Q88:W88)/100</f>
        <v>5614.849265788424</v>
      </c>
    </row>
    <row r="200" spans="1:10" ht="12.75">
      <c r="A200" s="13">
        <v>1857</v>
      </c>
      <c r="B200" s="10">
        <f t="shared" si="50"/>
        <v>10345.221267315268</v>
      </c>
      <c r="C200" s="10">
        <f t="shared" si="51"/>
        <v>5971.396407774035</v>
      </c>
      <c r="D200" s="10">
        <f t="shared" si="51"/>
        <v>7131.347888297627</v>
      </c>
      <c r="E200" s="10">
        <f>10000*I200/SUMPRODUCT(B211:H211,EstateMultiplier18171902!Q108:W108)</f>
        <v>8147.396652282033</v>
      </c>
      <c r="F200" s="10">
        <f t="shared" si="52"/>
        <v>7828.291204260501</v>
      </c>
      <c r="G200" s="10">
        <f t="shared" si="53"/>
        <v>7264.4765485015705</v>
      </c>
      <c r="H200" s="10">
        <f t="shared" si="53"/>
        <v>7473.7971250455175</v>
      </c>
      <c r="I200" s="11">
        <f>('Res1807-1913'!C60*'Res1807-1913'!H60-0.05*'Res1807-1913'!C60*'Res1807-1913'!E158)/('Res1807-1913'!E60-0.05*'Res1807-1913'!C60)</f>
        <v>7610.484190655965</v>
      </c>
      <c r="J200" s="10">
        <f>SUMPRODUCT(B200:H200,EstateMultiplier18171902!Q108:W108)/100</f>
        <v>7610.484190655963</v>
      </c>
    </row>
    <row r="201" spans="1:10" ht="12.75">
      <c r="A201" s="13">
        <v>1867</v>
      </c>
      <c r="B201" s="10">
        <f t="shared" si="50"/>
        <v>6330.85288263447</v>
      </c>
      <c r="C201" s="10">
        <f>C212*$E201/100</f>
        <v>6000.7283365183675</v>
      </c>
      <c r="D201" s="10">
        <f>D212*$E201/100</f>
        <v>9622.164262146536</v>
      </c>
      <c r="E201" s="10">
        <f>10000*I201/SUMPRODUCT(B212:H212,EstateMultiplier18171902!Q128:W128)</f>
        <v>9387.73910066167</v>
      </c>
      <c r="F201" s="10">
        <f t="shared" si="52"/>
        <v>11540.176695246446</v>
      </c>
      <c r="G201" s="10">
        <f>G212*$E201/100</f>
        <v>11238.193390071636</v>
      </c>
      <c r="H201" s="10">
        <f>H212*$E201/100</f>
        <v>11378.29268946837</v>
      </c>
      <c r="I201" s="11">
        <f>('Res1807-1913'!C61*'Res1807-1913'!H61-0.05*'Res1807-1913'!C61*'Res1807-1913'!E159)/('Res1807-1913'!E61-0.05*'Res1807-1913'!C61)</f>
        <v>10473.704396382935</v>
      </c>
      <c r="J201" s="10">
        <f>SUMPRODUCT(B201:H201,EstateMultiplier18171902!Q128:W128)/100</f>
        <v>10473.704396382936</v>
      </c>
    </row>
    <row r="202" spans="1:10" ht="12.75">
      <c r="A202" s="13">
        <v>1877</v>
      </c>
      <c r="B202" s="11">
        <v>10536</v>
      </c>
      <c r="C202" s="11">
        <v>8616</v>
      </c>
      <c r="D202" s="11">
        <v>9062</v>
      </c>
      <c r="E202" s="11">
        <v>11734</v>
      </c>
      <c r="F202" s="11">
        <v>14664</v>
      </c>
      <c r="G202" s="11">
        <v>14134</v>
      </c>
      <c r="H202" s="11">
        <v>18367</v>
      </c>
      <c r="I202" s="11">
        <f>('Res1807-1913'!C62*'Res1807-1913'!H62-0.05*'Res1807-1913'!C62*'Res1807-1913'!E160)/('Res1807-1913'!E62-0.05*'Res1807-1913'!C62)</f>
        <v>13158.324121914096</v>
      </c>
      <c r="J202" s="10"/>
    </row>
    <row r="203" spans="1:10" ht="12.75">
      <c r="A203" s="13">
        <v>1887</v>
      </c>
      <c r="B203" s="11">
        <v>9451</v>
      </c>
      <c r="C203" s="11">
        <v>9694</v>
      </c>
      <c r="D203" s="11">
        <v>11848</v>
      </c>
      <c r="E203" s="11">
        <v>13899</v>
      </c>
      <c r="F203" s="11">
        <v>14757</v>
      </c>
      <c r="G203" s="11">
        <v>18983</v>
      </c>
      <c r="H203" s="11">
        <v>18558</v>
      </c>
      <c r="I203" s="11">
        <f>('Res1807-1913'!C63*'Res1807-1913'!H63-0.05*'Res1807-1913'!C63*'Res1807-1913'!E161)/('Res1807-1913'!E63-0.05*'Res1807-1913'!C63)</f>
        <v>14916.487655198407</v>
      </c>
      <c r="J203" s="10"/>
    </row>
    <row r="204" spans="1:10" ht="12.75">
      <c r="A204" s="13">
        <v>1902</v>
      </c>
      <c r="B204" s="11">
        <v>6874</v>
      </c>
      <c r="C204" s="11">
        <v>6884</v>
      </c>
      <c r="D204" s="11">
        <v>9675</v>
      </c>
      <c r="E204" s="11">
        <v>9846</v>
      </c>
      <c r="F204" s="11">
        <v>11360</v>
      </c>
      <c r="G204" s="11">
        <v>14786</v>
      </c>
      <c r="H204" s="11">
        <v>19198</v>
      </c>
      <c r="I204" s="11">
        <f>('Res1807-1913'!C64*'Res1807-1913'!H64-0.05*'Res1807-1913'!C64*'Res1807-1913'!E162)/('Res1807-1913'!E64-0.05*'Res1807-1913'!C64)</f>
        <v>12336.624324425517</v>
      </c>
      <c r="J204" s="10"/>
    </row>
    <row r="206" spans="1:9" ht="12.75">
      <c r="A206" s="27" t="s">
        <v>414</v>
      </c>
      <c r="B206" s="13" t="s">
        <v>364</v>
      </c>
      <c r="C206" s="13" t="s">
        <v>365</v>
      </c>
      <c r="D206" s="13" t="s">
        <v>366</v>
      </c>
      <c r="E206" s="13" t="s">
        <v>367</v>
      </c>
      <c r="F206" s="13" t="s">
        <v>368</v>
      </c>
      <c r="G206" s="13" t="s">
        <v>369</v>
      </c>
      <c r="H206" s="13" t="s">
        <v>0</v>
      </c>
      <c r="I206" s="13"/>
    </row>
    <row r="207" spans="1:8" ht="12.75">
      <c r="A207" s="13">
        <v>1817</v>
      </c>
      <c r="B207" s="11">
        <f aca="true" t="shared" si="54" ref="B207:H210">B178</f>
        <v>48.42922484352432</v>
      </c>
      <c r="C207" s="11">
        <f t="shared" si="54"/>
        <v>49.28683196918632</v>
      </c>
      <c r="D207" s="11">
        <f t="shared" si="54"/>
        <v>50.00752286952335</v>
      </c>
      <c r="E207" s="11">
        <f t="shared" si="54"/>
        <v>100</v>
      </c>
      <c r="F207" s="11">
        <f t="shared" si="54"/>
        <v>87.82122652864709</v>
      </c>
      <c r="G207" s="11">
        <f t="shared" si="54"/>
        <v>70.87671521425132</v>
      </c>
      <c r="H207" s="11">
        <f t="shared" si="54"/>
        <v>69.4142693789119</v>
      </c>
    </row>
    <row r="208" spans="1:8" ht="12.75">
      <c r="A208" s="13">
        <v>1827</v>
      </c>
      <c r="B208" s="11">
        <f t="shared" si="54"/>
        <v>48.73329511863416</v>
      </c>
      <c r="C208" s="11">
        <f t="shared" si="54"/>
        <v>46.155488867158965</v>
      </c>
      <c r="D208" s="11">
        <f t="shared" si="54"/>
        <v>75.86516954962853</v>
      </c>
      <c r="E208" s="11">
        <f t="shared" si="54"/>
        <v>100</v>
      </c>
      <c r="F208" s="11">
        <f t="shared" si="54"/>
        <v>95.53506198648998</v>
      </c>
      <c r="G208" s="11">
        <f t="shared" si="54"/>
        <v>97.1041125760079</v>
      </c>
      <c r="H208" s="11">
        <f t="shared" si="54"/>
        <v>68.67687223926897</v>
      </c>
    </row>
    <row r="209" spans="1:8" ht="12.75">
      <c r="A209" s="13">
        <v>1837</v>
      </c>
      <c r="B209" s="11">
        <f t="shared" si="54"/>
        <v>79.68516280740717</v>
      </c>
      <c r="C209" s="11">
        <f t="shared" si="54"/>
        <v>82.22541559162612</v>
      </c>
      <c r="D209" s="11">
        <f t="shared" si="54"/>
        <v>111.17606714784938</v>
      </c>
      <c r="E209" s="11">
        <f t="shared" si="54"/>
        <v>100</v>
      </c>
      <c r="F209" s="11">
        <f t="shared" si="54"/>
        <v>114.25912015415265</v>
      </c>
      <c r="G209" s="11">
        <f t="shared" si="54"/>
        <v>126.74940396485842</v>
      </c>
      <c r="H209" s="11">
        <f t="shared" si="54"/>
        <v>108.23018387275874</v>
      </c>
    </row>
    <row r="210" spans="1:8" ht="12.75">
      <c r="A210" s="13">
        <v>1847</v>
      </c>
      <c r="B210" s="11">
        <f t="shared" si="54"/>
        <v>78.7260483655046</v>
      </c>
      <c r="C210" s="11">
        <f t="shared" si="54"/>
        <v>77.39137463311627</v>
      </c>
      <c r="D210" s="11">
        <f t="shared" si="54"/>
        <v>112.55866350763573</v>
      </c>
      <c r="E210" s="11">
        <f t="shared" si="54"/>
        <v>100</v>
      </c>
      <c r="F210" s="11">
        <f t="shared" si="54"/>
        <v>119.42248334183712</v>
      </c>
      <c r="G210" s="11">
        <f t="shared" si="54"/>
        <v>160.25582088496648</v>
      </c>
      <c r="H210" s="11">
        <f t="shared" si="54"/>
        <v>128.29437588089982</v>
      </c>
    </row>
    <row r="211" spans="1:8" ht="12.75">
      <c r="A211" s="13">
        <v>1857</v>
      </c>
      <c r="B211" s="11">
        <f aca="true" t="shared" si="55" ref="B211:H211">B182</f>
        <v>126.9757900447579</v>
      </c>
      <c r="C211" s="11">
        <f t="shared" si="55"/>
        <v>73.29207920792079</v>
      </c>
      <c r="D211" s="11">
        <f t="shared" si="55"/>
        <v>87.5291604502916</v>
      </c>
      <c r="E211" s="11">
        <f t="shared" si="55"/>
        <v>100</v>
      </c>
      <c r="F211" s="11">
        <f t="shared" si="55"/>
        <v>96.08334463583344</v>
      </c>
      <c r="G211" s="11">
        <f t="shared" si="55"/>
        <v>89.16316289163163</v>
      </c>
      <c r="H211" s="11">
        <f t="shared" si="55"/>
        <v>91.73233419232334</v>
      </c>
    </row>
    <row r="212" spans="1:8" ht="12.75">
      <c r="A212" s="13">
        <v>1867</v>
      </c>
      <c r="B212" s="11">
        <f aca="true" t="shared" si="56" ref="B212:H212">B183</f>
        <v>67.43746087051201</v>
      </c>
      <c r="C212" s="11">
        <f t="shared" si="56"/>
        <v>63.920910798377655</v>
      </c>
      <c r="D212" s="11">
        <f t="shared" si="56"/>
        <v>102.49714184609522</v>
      </c>
      <c r="E212" s="11">
        <f t="shared" si="56"/>
        <v>100</v>
      </c>
      <c r="F212" s="11">
        <f t="shared" si="56"/>
        <v>122.92817867544981</v>
      </c>
      <c r="G212" s="11">
        <f t="shared" si="56"/>
        <v>119.7113945069004</v>
      </c>
      <c r="H212" s="11">
        <f t="shared" si="56"/>
        <v>121.20375915289762</v>
      </c>
    </row>
    <row r="213" spans="1:9" ht="12.75">
      <c r="A213" s="13">
        <v>1877</v>
      </c>
      <c r="B213" s="11">
        <f aca="true" t="shared" si="57" ref="B213:H213">100*B202/$E202</f>
        <v>89.79035282086245</v>
      </c>
      <c r="C213" s="11">
        <f t="shared" si="57"/>
        <v>73.42764615646838</v>
      </c>
      <c r="D213" s="11">
        <f t="shared" si="57"/>
        <v>77.22856655871826</v>
      </c>
      <c r="E213" s="11">
        <f t="shared" si="57"/>
        <v>100</v>
      </c>
      <c r="F213" s="11">
        <f t="shared" si="57"/>
        <v>124.9701721493097</v>
      </c>
      <c r="G213" s="11">
        <f t="shared" si="57"/>
        <v>120.45338333049258</v>
      </c>
      <c r="H213" s="11">
        <f t="shared" si="57"/>
        <v>156.5280381796489</v>
      </c>
      <c r="I213" s="11"/>
    </row>
    <row r="214" spans="1:9" ht="12.75">
      <c r="A214" s="13">
        <v>1887</v>
      </c>
      <c r="B214" s="11">
        <f aca="true" t="shared" si="58" ref="B214:H214">100*B203/$E203</f>
        <v>67.9976976760918</v>
      </c>
      <c r="C214" s="11">
        <f t="shared" si="58"/>
        <v>69.74602489387726</v>
      </c>
      <c r="D214" s="11">
        <f t="shared" si="58"/>
        <v>85.24354270091374</v>
      </c>
      <c r="E214" s="11">
        <f t="shared" si="58"/>
        <v>100</v>
      </c>
      <c r="F214" s="11">
        <f t="shared" si="58"/>
        <v>106.1731059788474</v>
      </c>
      <c r="G214" s="11">
        <f t="shared" si="58"/>
        <v>136.57817109144543</v>
      </c>
      <c r="H214" s="11">
        <f t="shared" si="58"/>
        <v>133.52039715087417</v>
      </c>
      <c r="I214" s="11"/>
    </row>
    <row r="215" spans="1:9" ht="12.75">
      <c r="A215" s="13">
        <v>1902</v>
      </c>
      <c r="B215" s="11">
        <f aca="true" t="shared" si="59" ref="B215:H215">100*B204/$E204</f>
        <v>69.81515336177128</v>
      </c>
      <c r="C215" s="11">
        <f t="shared" si="59"/>
        <v>69.91671744871013</v>
      </c>
      <c r="D215" s="11">
        <f t="shared" si="59"/>
        <v>98.26325411334552</v>
      </c>
      <c r="E215" s="11">
        <f t="shared" si="59"/>
        <v>100</v>
      </c>
      <c r="F215" s="11">
        <f t="shared" si="59"/>
        <v>115.37680276254316</v>
      </c>
      <c r="G215" s="11">
        <f t="shared" si="59"/>
        <v>150.17265894779607</v>
      </c>
      <c r="H215" s="11">
        <f t="shared" si="59"/>
        <v>194.9827341052204</v>
      </c>
      <c r="I215" s="11"/>
    </row>
    <row r="216" ht="12.75">
      <c r="A216" s="1" t="s">
        <v>465</v>
      </c>
    </row>
    <row r="217" ht="12.75">
      <c r="A217" s="1" t="s">
        <v>466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6"/>
  <sheetViews>
    <sheetView workbookViewId="0" topLeftCell="A1">
      <selection activeCell="C19" sqref="C19"/>
    </sheetView>
  </sheetViews>
  <sheetFormatPr defaultColWidth="11.421875" defaultRowHeight="12.75"/>
  <cols>
    <col min="3" max="7" width="11.57421875" style="0" bestFit="1" customWidth="1"/>
    <col min="8" max="8" width="11.7109375" style="0" bestFit="1" customWidth="1"/>
  </cols>
  <sheetData>
    <row r="1" spans="1:2" ht="12.75">
      <c r="A1" t="s">
        <v>418</v>
      </c>
      <c r="B1" s="1" t="s">
        <v>419</v>
      </c>
    </row>
    <row r="3" ht="12.75">
      <c r="A3" t="s">
        <v>484</v>
      </c>
    </row>
    <row r="4" ht="12.75">
      <c r="A4" t="s">
        <v>486</v>
      </c>
    </row>
    <row r="5" ht="12.75">
      <c r="A5" t="s">
        <v>485</v>
      </c>
    </row>
    <row r="6" ht="12.75">
      <c r="A6" t="s">
        <v>487</v>
      </c>
    </row>
    <row r="7" ht="12.75">
      <c r="A7" t="s">
        <v>488</v>
      </c>
    </row>
    <row r="9" ht="12.75">
      <c r="A9" s="1" t="s">
        <v>500</v>
      </c>
    </row>
    <row r="10" ht="12.75">
      <c r="A10" s="1" t="s">
        <v>501</v>
      </c>
    </row>
    <row r="12" ht="12.75">
      <c r="A12" s="9" t="s">
        <v>417</v>
      </c>
    </row>
    <row r="15" spans="2:15" ht="12.75">
      <c r="B15" s="21"/>
      <c r="C15" s="21"/>
      <c r="D15" s="21"/>
      <c r="E15" s="21"/>
      <c r="F15" s="21"/>
      <c r="K15" s="69" t="s">
        <v>411</v>
      </c>
      <c r="L15" s="69"/>
      <c r="M15" s="69"/>
      <c r="N15" s="69"/>
      <c r="O15" s="69"/>
    </row>
    <row r="16" spans="1:23" ht="12.75">
      <c r="A16" s="64">
        <v>1817</v>
      </c>
      <c r="B16" t="s">
        <v>383</v>
      </c>
      <c r="C16" t="s">
        <v>412</v>
      </c>
      <c r="D16" t="s">
        <v>420</v>
      </c>
      <c r="E16" t="s">
        <v>6</v>
      </c>
      <c r="F16" t="s">
        <v>398</v>
      </c>
      <c r="G16" t="s">
        <v>421</v>
      </c>
      <c r="H16" t="s">
        <v>424</v>
      </c>
      <c r="I16" t="s">
        <v>422</v>
      </c>
      <c r="J16" t="s">
        <v>423</v>
      </c>
      <c r="K16" t="s">
        <v>425</v>
      </c>
      <c r="L16" t="s">
        <v>426</v>
      </c>
      <c r="M16" t="s">
        <v>427</v>
      </c>
      <c r="N16" t="s">
        <v>428</v>
      </c>
      <c r="O16" t="s">
        <v>425</v>
      </c>
      <c r="Q16" t="s">
        <v>364</v>
      </c>
      <c r="R16" t="s">
        <v>365</v>
      </c>
      <c r="S16" t="s">
        <v>366</v>
      </c>
      <c r="T16" t="s">
        <v>367</v>
      </c>
      <c r="U16" t="s">
        <v>368</v>
      </c>
      <c r="V16" t="s">
        <v>369</v>
      </c>
      <c r="W16" t="s">
        <v>0</v>
      </c>
    </row>
    <row r="17" spans="1:24" ht="12.75">
      <c r="A17" t="s">
        <v>384</v>
      </c>
      <c r="B17" s="11">
        <v>1064</v>
      </c>
      <c r="C17" s="11">
        <v>73512</v>
      </c>
      <c r="D17" s="11">
        <f>C17</f>
        <v>73512</v>
      </c>
      <c r="E17" s="12">
        <f>100*D17/D$30</f>
        <v>14.778271646633819</v>
      </c>
      <c r="F17" s="22">
        <f>D17/B17</f>
        <v>69.09022556390977</v>
      </c>
      <c r="G17" s="13">
        <v>11</v>
      </c>
      <c r="H17" s="10">
        <f>G17/0.6621</f>
        <v>16.613804561244525</v>
      </c>
      <c r="I17" s="11">
        <f aca="true" t="shared" si="0" ref="I17:I29">B17-H17</f>
        <v>1047.3861954387555</v>
      </c>
      <c r="J17" s="22">
        <f aca="true" t="shared" si="1" ref="J17:J30">100*H17/B17</f>
        <v>1.5614477971094478</v>
      </c>
      <c r="K17" s="22">
        <f aca="true" t="shared" si="2" ref="K17:K29">F17</f>
        <v>69.09022556390977</v>
      </c>
      <c r="L17" s="22">
        <f aca="true" t="shared" si="3" ref="L17:L29">F17</f>
        <v>69.09022556390977</v>
      </c>
      <c r="M17" s="11">
        <f aca="true" t="shared" si="4" ref="M17:M29">H17*K17</f>
        <v>1147.8515046110972</v>
      </c>
      <c r="N17" s="11">
        <f aca="true" t="shared" si="5" ref="N17:N29">I17*L17</f>
        <v>72364.1484953889</v>
      </c>
      <c r="O17" s="65">
        <f aca="true" t="shared" si="6" ref="O17:O30">K17*H17/G17</f>
        <v>104.35013678282702</v>
      </c>
      <c r="P17" t="s">
        <v>436</v>
      </c>
      <c r="Q17" s="15">
        <f>$M17+$M18</f>
        <v>2875.9097362433704</v>
      </c>
      <c r="R17" s="15">
        <f>$M19+$M20</f>
        <v>3217.0538822678404</v>
      </c>
      <c r="S17" s="15">
        <f>$M21+$M22</f>
        <v>4015.2261953008333</v>
      </c>
      <c r="T17" s="15">
        <f>$M23+$M24</f>
        <v>4604.805229187222</v>
      </c>
      <c r="U17" s="15">
        <f>$M25+$M26</f>
        <v>2931.2493834291595</v>
      </c>
      <c r="V17" s="15">
        <f>$M27+$M28</f>
        <v>1241.9946633684185</v>
      </c>
      <c r="W17" s="15">
        <f>$M29</f>
        <v>336.6828844422339</v>
      </c>
      <c r="X17" s="15">
        <f>SUM(Q17:W17)</f>
        <v>19222.921974239078</v>
      </c>
    </row>
    <row r="18" spans="1:24" ht="12.75">
      <c r="A18" t="s">
        <v>385</v>
      </c>
      <c r="B18" s="11">
        <v>794</v>
      </c>
      <c r="C18" s="11">
        <v>69881</v>
      </c>
      <c r="D18" s="11">
        <f>C18</f>
        <v>69881</v>
      </c>
      <c r="E18" s="12">
        <f aca="true" t="shared" si="7" ref="E18:E30">100*D18/D$30</f>
        <v>14.048324095908393</v>
      </c>
      <c r="F18" s="22">
        <f aca="true" t="shared" si="8" ref="F18:F30">D18/B18</f>
        <v>88.01133501259446</v>
      </c>
      <c r="G18" s="13">
        <v>13</v>
      </c>
      <c r="H18" s="10">
        <f aca="true" t="shared" si="9" ref="H18:H29">G18/0.6621</f>
        <v>19.63449629965262</v>
      </c>
      <c r="I18" s="11">
        <f t="shared" si="0"/>
        <v>774.3655037003474</v>
      </c>
      <c r="J18" s="22">
        <f t="shared" si="1"/>
        <v>2.4728584760267784</v>
      </c>
      <c r="K18" s="22">
        <f t="shared" si="2"/>
        <v>88.01133501259446</v>
      </c>
      <c r="L18" s="22">
        <f t="shared" si="3"/>
        <v>88.01133501259446</v>
      </c>
      <c r="M18" s="11">
        <f t="shared" si="4"/>
        <v>1728.058231632273</v>
      </c>
      <c r="N18" s="11">
        <f t="shared" si="5"/>
        <v>68152.94176836773</v>
      </c>
      <c r="O18" s="65">
        <f t="shared" si="6"/>
        <v>132.92755627940562</v>
      </c>
      <c r="P18" t="s">
        <v>428</v>
      </c>
      <c r="Q18" s="15">
        <f>$N17+$N18</f>
        <v>140517.09026375663</v>
      </c>
      <c r="R18" s="15">
        <f>$N19+$N20</f>
        <v>113437.94611773216</v>
      </c>
      <c r="S18" s="15">
        <f>$N21+$N22</f>
        <v>86507.77380469916</v>
      </c>
      <c r="T18" s="15">
        <f>$N23+$N24</f>
        <v>68720.19477081278</v>
      </c>
      <c r="U18" s="15">
        <f>$N25+$N26</f>
        <v>46892.75061657084</v>
      </c>
      <c r="V18" s="15">
        <f>$N27+$N28</f>
        <v>18241.00533663158</v>
      </c>
      <c r="W18" s="15">
        <f>$N29</f>
        <v>3893.317115557766</v>
      </c>
      <c r="X18" s="15">
        <f>SUM(Q18:W18)</f>
        <v>478210.0780257609</v>
      </c>
    </row>
    <row r="19" spans="1:23" ht="12.75">
      <c r="A19" t="s">
        <v>386</v>
      </c>
      <c r="B19" s="11">
        <v>781</v>
      </c>
      <c r="C19" s="11">
        <v>116655</v>
      </c>
      <c r="D19" s="11">
        <f>C19*C$179/(C$179+C$180)</f>
        <v>60392.862175103925</v>
      </c>
      <c r="E19" s="12">
        <f t="shared" si="7"/>
        <v>12.140903835311274</v>
      </c>
      <c r="F19" s="22">
        <f t="shared" si="8"/>
        <v>77.32760841882705</v>
      </c>
      <c r="G19" s="13">
        <v>20</v>
      </c>
      <c r="H19" s="10">
        <f t="shared" si="9"/>
        <v>30.206917384080953</v>
      </c>
      <c r="I19" s="11">
        <f t="shared" si="0"/>
        <v>750.793082615919</v>
      </c>
      <c r="J19" s="22">
        <f t="shared" si="1"/>
        <v>3.867723096553259</v>
      </c>
      <c r="K19" s="22">
        <f t="shared" si="2"/>
        <v>77.32760841882705</v>
      </c>
      <c r="L19" s="22">
        <f t="shared" si="3"/>
        <v>77.32760841882705</v>
      </c>
      <c r="M19" s="11">
        <f t="shared" si="4"/>
        <v>2335.8286790160714</v>
      </c>
      <c r="N19" s="11">
        <f t="shared" si="5"/>
        <v>58057.03349608786</v>
      </c>
      <c r="O19" s="65">
        <f t="shared" si="6"/>
        <v>116.79143395080357</v>
      </c>
      <c r="P19" t="s">
        <v>437</v>
      </c>
      <c r="Q19" s="3">
        <f>Q17/(Q17+Q18)</f>
        <v>0.02005613758163488</v>
      </c>
      <c r="R19" s="3">
        <f aca="true" t="shared" si="10" ref="R19:W19">R17/(R17+R18)</f>
        <v>0.027577505312827058</v>
      </c>
      <c r="S19" s="3">
        <f t="shared" si="10"/>
        <v>0.04435586751765666</v>
      </c>
      <c r="T19" s="3">
        <f t="shared" si="10"/>
        <v>0.06279993493606849</v>
      </c>
      <c r="U19" s="3">
        <f t="shared" si="10"/>
        <v>0.058832076578138236</v>
      </c>
      <c r="V19" s="3">
        <f t="shared" si="10"/>
        <v>0.06374760885738431</v>
      </c>
      <c r="W19" s="3">
        <f t="shared" si="10"/>
        <v>0.07959406251589454</v>
      </c>
    </row>
    <row r="20" spans="1:24" ht="12.75">
      <c r="A20" t="s">
        <v>387</v>
      </c>
      <c r="B20" s="11">
        <v>675</v>
      </c>
      <c r="C20" s="11"/>
      <c r="D20" s="11">
        <f>C19*C$180/(C$179+C$180)</f>
        <v>56262.137824896075</v>
      </c>
      <c r="E20" s="12">
        <f t="shared" si="7"/>
        <v>11.310495649644489</v>
      </c>
      <c r="F20" s="22">
        <f t="shared" si="8"/>
        <v>83.35131529614233</v>
      </c>
      <c r="G20" s="13">
        <v>7</v>
      </c>
      <c r="H20" s="10">
        <f t="shared" si="9"/>
        <v>10.572421084428333</v>
      </c>
      <c r="I20" s="11">
        <f t="shared" si="0"/>
        <v>664.4275789155716</v>
      </c>
      <c r="J20" s="22">
        <f t="shared" si="1"/>
        <v>1.566284605100494</v>
      </c>
      <c r="K20" s="22">
        <f t="shared" si="2"/>
        <v>83.35131529614233</v>
      </c>
      <c r="L20" s="22">
        <f t="shared" si="3"/>
        <v>83.35131529614233</v>
      </c>
      <c r="M20" s="11">
        <f t="shared" si="4"/>
        <v>881.225203251769</v>
      </c>
      <c r="N20" s="11">
        <f t="shared" si="5"/>
        <v>55380.912621644304</v>
      </c>
      <c r="O20" s="65">
        <f t="shared" si="6"/>
        <v>125.88931475025272</v>
      </c>
      <c r="P20" t="s">
        <v>438</v>
      </c>
      <c r="Q20" s="15">
        <f>Q17+Q18</f>
        <v>143393</v>
      </c>
      <c r="R20" s="15">
        <f aca="true" t="shared" si="11" ref="R20:W20">R17+R18</f>
        <v>116655</v>
      </c>
      <c r="S20" s="15">
        <f t="shared" si="11"/>
        <v>90522.99999999999</v>
      </c>
      <c r="T20" s="15">
        <f t="shared" si="11"/>
        <v>73325</v>
      </c>
      <c r="U20" s="15">
        <f t="shared" si="11"/>
        <v>49824</v>
      </c>
      <c r="V20" s="15">
        <f t="shared" si="11"/>
        <v>19483</v>
      </c>
      <c r="W20" s="15">
        <f t="shared" si="11"/>
        <v>4230</v>
      </c>
      <c r="X20" s="15">
        <f>SUM(Q20:W20)</f>
        <v>497433</v>
      </c>
    </row>
    <row r="21" spans="1:23" ht="12.75">
      <c r="A21" t="s">
        <v>388</v>
      </c>
      <c r="B21" s="11">
        <v>750</v>
      </c>
      <c r="C21" s="11">
        <v>90523</v>
      </c>
      <c r="D21" s="11">
        <f>C21*C$181/(C$181+C$182)</f>
        <v>50488.88516430691</v>
      </c>
      <c r="E21" s="12">
        <f t="shared" si="7"/>
        <v>10.149886550411193</v>
      </c>
      <c r="F21" s="22">
        <f t="shared" si="8"/>
        <v>67.31851355240921</v>
      </c>
      <c r="G21" s="13">
        <v>22</v>
      </c>
      <c r="H21" s="10">
        <f t="shared" si="9"/>
        <v>33.22760912248905</v>
      </c>
      <c r="I21" s="11">
        <f t="shared" si="0"/>
        <v>716.7723908775109</v>
      </c>
      <c r="J21" s="22">
        <f t="shared" si="1"/>
        <v>4.430347882998539</v>
      </c>
      <c r="K21" s="22">
        <f t="shared" si="2"/>
        <v>67.31851355240921</v>
      </c>
      <c r="L21" s="22">
        <f t="shared" si="3"/>
        <v>67.31851355240921</v>
      </c>
      <c r="M21" s="11">
        <f t="shared" si="4"/>
        <v>2236.833255026435</v>
      </c>
      <c r="N21" s="11">
        <f t="shared" si="5"/>
        <v>48252.051909280475</v>
      </c>
      <c r="O21" s="65">
        <f t="shared" si="6"/>
        <v>101.67423886483795</v>
      </c>
      <c r="P21" t="s">
        <v>6</v>
      </c>
      <c r="Q21" s="6">
        <f>100*Q20/$X20</f>
        <v>28.82659574254221</v>
      </c>
      <c r="R21" s="6">
        <f aca="true" t="shared" si="12" ref="R21:W21">100*R20/$X20</f>
        <v>23.45139948495576</v>
      </c>
      <c r="S21" s="6">
        <f t="shared" si="12"/>
        <v>18.19802867923921</v>
      </c>
      <c r="T21" s="6">
        <f t="shared" si="12"/>
        <v>14.740678644159113</v>
      </c>
      <c r="U21" s="6">
        <f t="shared" si="12"/>
        <v>10.016223290372773</v>
      </c>
      <c r="V21" s="6">
        <f t="shared" si="12"/>
        <v>3.9167083808271665</v>
      </c>
      <c r="W21" s="6">
        <f t="shared" si="12"/>
        <v>0.8503657779037579</v>
      </c>
    </row>
    <row r="22" spans="1:24" ht="12.75">
      <c r="A22" t="s">
        <v>389</v>
      </c>
      <c r="B22" s="11">
        <v>816</v>
      </c>
      <c r="C22" s="11"/>
      <c r="D22" s="11">
        <f>C21*C$182/(C$181+C$182)</f>
        <v>40034.11483569309</v>
      </c>
      <c r="E22" s="12">
        <f t="shared" si="7"/>
        <v>8.04814212882802</v>
      </c>
      <c r="F22" s="22">
        <f t="shared" si="8"/>
        <v>49.061415239819965</v>
      </c>
      <c r="G22" s="13">
        <v>24</v>
      </c>
      <c r="H22" s="10">
        <f t="shared" si="9"/>
        <v>36.248300860897146</v>
      </c>
      <c r="I22" s="11">
        <f t="shared" si="0"/>
        <v>779.7516991391028</v>
      </c>
      <c r="J22" s="22">
        <f t="shared" si="1"/>
        <v>4.442193732953082</v>
      </c>
      <c r="K22" s="22">
        <f t="shared" si="2"/>
        <v>49.061415239819965</v>
      </c>
      <c r="L22" s="22">
        <f t="shared" si="3"/>
        <v>49.061415239819965</v>
      </c>
      <c r="M22" s="11">
        <f t="shared" si="4"/>
        <v>1778.3929402743984</v>
      </c>
      <c r="N22" s="11">
        <f t="shared" si="5"/>
        <v>38255.72189541869</v>
      </c>
      <c r="O22" s="65">
        <f t="shared" si="6"/>
        <v>74.0997058447666</v>
      </c>
      <c r="P22" t="s">
        <v>460</v>
      </c>
      <c r="Q22" s="15">
        <f>Q18*Q24/100</f>
        <v>12167.854575168267</v>
      </c>
      <c r="R22" s="15">
        <f aca="true" t="shared" si="13" ref="R22:W22">R18*R24/100</f>
        <v>14225.277999051852</v>
      </c>
      <c r="S22" s="15">
        <f t="shared" si="13"/>
        <v>17478.013058271936</v>
      </c>
      <c r="T22" s="15">
        <f t="shared" si="13"/>
        <v>19979.45314213146</v>
      </c>
      <c r="U22" s="15">
        <f t="shared" si="13"/>
        <v>12827.23870515011</v>
      </c>
      <c r="V22" s="15">
        <f t="shared" si="13"/>
        <v>5497.220145654323</v>
      </c>
      <c r="W22" s="15">
        <f t="shared" si="13"/>
        <v>1465.235496020491</v>
      </c>
      <c r="X22" s="15">
        <f>SUM(Q22:W22)</f>
        <v>83640.29312144846</v>
      </c>
    </row>
    <row r="23" spans="1:24" ht="12.75">
      <c r="A23" t="s">
        <v>390</v>
      </c>
      <c r="B23" s="11">
        <v>942</v>
      </c>
      <c r="C23" s="11">
        <v>73325</v>
      </c>
      <c r="D23" s="11">
        <f>C23*(C$183/(C$183+C$184)-0.04)</f>
        <v>38124.669407030255</v>
      </c>
      <c r="E23" s="12">
        <f t="shared" si="7"/>
        <v>7.664282306769003</v>
      </c>
      <c r="F23" s="22">
        <f t="shared" si="8"/>
        <v>40.4720482027922</v>
      </c>
      <c r="G23" s="13">
        <v>48</v>
      </c>
      <c r="H23" s="10">
        <f t="shared" si="9"/>
        <v>72.49660172179429</v>
      </c>
      <c r="I23" s="11">
        <f t="shared" si="0"/>
        <v>869.5033982782057</v>
      </c>
      <c r="J23" s="22">
        <f t="shared" si="1"/>
        <v>7.696029906772218</v>
      </c>
      <c r="K23" s="22">
        <f t="shared" si="2"/>
        <v>40.4720482027922</v>
      </c>
      <c r="L23" s="22">
        <f t="shared" si="3"/>
        <v>40.4720482027922</v>
      </c>
      <c r="M23" s="11">
        <f t="shared" si="4"/>
        <v>2934.085959423087</v>
      </c>
      <c r="N23" s="11">
        <f t="shared" si="5"/>
        <v>35190.58344760717</v>
      </c>
      <c r="O23" s="65">
        <f t="shared" si="6"/>
        <v>61.12679082131431</v>
      </c>
      <c r="P23" t="s">
        <v>405</v>
      </c>
      <c r="Q23" s="15">
        <f>Q18-Q22</f>
        <v>128349.23568858836</v>
      </c>
      <c r="R23" s="15">
        <f aca="true" t="shared" si="14" ref="R23:W23">R18-R22</f>
        <v>99212.66811868032</v>
      </c>
      <c r="S23" s="15">
        <f t="shared" si="14"/>
        <v>69029.76074642723</v>
      </c>
      <c r="T23" s="15">
        <f t="shared" si="14"/>
        <v>48740.741628681324</v>
      </c>
      <c r="U23" s="15">
        <f t="shared" si="14"/>
        <v>34065.511911420734</v>
      </c>
      <c r="V23" s="15">
        <f t="shared" si="14"/>
        <v>12743.785190977258</v>
      </c>
      <c r="W23" s="15">
        <f t="shared" si="14"/>
        <v>2428.0816195372754</v>
      </c>
      <c r="X23" s="15">
        <f>SUM(Q23:W23)</f>
        <v>394569.7849043125</v>
      </c>
    </row>
    <row r="24" spans="1:24" ht="12.75">
      <c r="A24" t="s">
        <v>391</v>
      </c>
      <c r="B24" s="11">
        <v>891</v>
      </c>
      <c r="C24" s="11"/>
      <c r="D24" s="11">
        <f>C23*(C$184/(C$183+C$184)+0.04)</f>
        <v>35200.330592969745</v>
      </c>
      <c r="E24" s="12">
        <f t="shared" si="7"/>
        <v>7.0763963373901095</v>
      </c>
      <c r="F24" s="22">
        <f t="shared" si="8"/>
        <v>39.50654387538692</v>
      </c>
      <c r="G24" s="13">
        <v>28</v>
      </c>
      <c r="H24" s="10">
        <f t="shared" si="9"/>
        <v>42.28968433771333</v>
      </c>
      <c r="I24" s="11">
        <f t="shared" si="0"/>
        <v>848.7103156622867</v>
      </c>
      <c r="J24" s="22">
        <f t="shared" si="1"/>
        <v>4.746316985153012</v>
      </c>
      <c r="K24" s="22">
        <f t="shared" si="2"/>
        <v>39.50654387538692</v>
      </c>
      <c r="L24" s="22">
        <f t="shared" si="3"/>
        <v>39.50654387538692</v>
      </c>
      <c r="M24" s="11">
        <f t="shared" si="4"/>
        <v>1670.7192697641347</v>
      </c>
      <c r="N24" s="11">
        <f t="shared" si="5"/>
        <v>33529.61132320561</v>
      </c>
      <c r="O24" s="65">
        <f t="shared" si="6"/>
        <v>59.66854534871909</v>
      </c>
      <c r="P24" t="s">
        <v>461</v>
      </c>
      <c r="Q24" s="6">
        <f>100*Q27/(Q27+Q29)</f>
        <v>8.659341402763664</v>
      </c>
      <c r="R24" s="6">
        <f aca="true" t="shared" si="15" ref="R24:X24">100*R27/(R27+R29)</f>
        <v>12.54014065477532</v>
      </c>
      <c r="S24" s="6">
        <f t="shared" si="15"/>
        <v>20.203979699824988</v>
      </c>
      <c r="T24" s="6">
        <f t="shared" si="15"/>
        <v>29.07362705935933</v>
      </c>
      <c r="U24" s="6">
        <f t="shared" si="15"/>
        <v>27.354417338481426</v>
      </c>
      <c r="V24" s="6">
        <f t="shared" si="15"/>
        <v>30.136607298802804</v>
      </c>
      <c r="W24" s="6">
        <f t="shared" si="15"/>
        <v>37.634630124666266</v>
      </c>
      <c r="X24" s="6">
        <f t="shared" si="15"/>
        <v>22.79437360512782</v>
      </c>
    </row>
    <row r="25" spans="1:24" ht="12.75">
      <c r="A25" t="s">
        <v>392</v>
      </c>
      <c r="B25" s="11">
        <v>1159</v>
      </c>
      <c r="C25" s="11">
        <v>49824</v>
      </c>
      <c r="D25" s="11">
        <f>C25*C$185/(C$185+C$186)</f>
        <v>29556.840345531295</v>
      </c>
      <c r="E25" s="12">
        <f t="shared" si="7"/>
        <v>5.941873648417232</v>
      </c>
      <c r="F25" s="22">
        <f t="shared" si="8"/>
        <v>25.502019280009744</v>
      </c>
      <c r="G25" s="13">
        <v>44</v>
      </c>
      <c r="H25" s="10">
        <f t="shared" si="9"/>
        <v>66.4552182449781</v>
      </c>
      <c r="I25" s="11">
        <f t="shared" si="0"/>
        <v>1092.5447817550219</v>
      </c>
      <c r="J25" s="22">
        <f t="shared" si="1"/>
        <v>5.733841091024857</v>
      </c>
      <c r="K25" s="22">
        <f t="shared" si="2"/>
        <v>25.502019280009744</v>
      </c>
      <c r="L25" s="22">
        <f t="shared" si="3"/>
        <v>25.502019280009744</v>
      </c>
      <c r="M25" s="11">
        <f t="shared" si="4"/>
        <v>1694.7422569406867</v>
      </c>
      <c r="N25" s="11">
        <f t="shared" si="5"/>
        <v>27862.098088590606</v>
      </c>
      <c r="O25" s="65">
        <f t="shared" si="6"/>
        <v>38.5168694759247</v>
      </c>
      <c r="P25" t="s">
        <v>463</v>
      </c>
      <c r="Q25" s="4">
        <f>H17+H18</f>
        <v>36.248300860897146</v>
      </c>
      <c r="R25" s="4">
        <f>H19+H20</f>
        <v>40.77933846850929</v>
      </c>
      <c r="S25" s="4">
        <f>H21+H22</f>
        <v>69.4759099833862</v>
      </c>
      <c r="T25" s="4">
        <f>H23+H24</f>
        <v>114.78628605950763</v>
      </c>
      <c r="U25" s="4">
        <f>H25+H26</f>
        <v>134.42078235916023</v>
      </c>
      <c r="V25" s="4">
        <f>H27+H28</f>
        <v>122.33801540552787</v>
      </c>
      <c r="W25" s="4">
        <f>H29</f>
        <v>61.92418063736596</v>
      </c>
      <c r="X25" s="15">
        <f>SUM(Q25:W25)</f>
        <v>579.9728137743543</v>
      </c>
    </row>
    <row r="26" spans="1:24" ht="12.75">
      <c r="A26" t="s">
        <v>393</v>
      </c>
      <c r="B26" s="11">
        <v>1114</v>
      </c>
      <c r="C26" s="11"/>
      <c r="D26" s="11">
        <f>C25*C$186/(C$185+C$186)</f>
        <v>20267.159654468705</v>
      </c>
      <c r="E26" s="12">
        <f t="shared" si="7"/>
        <v>4.074349641955541</v>
      </c>
      <c r="F26" s="22">
        <f t="shared" si="8"/>
        <v>18.193141521067062</v>
      </c>
      <c r="G26" s="13">
        <v>45</v>
      </c>
      <c r="H26" s="10">
        <f t="shared" si="9"/>
        <v>67.96556411418214</v>
      </c>
      <c r="I26" s="11">
        <f t="shared" si="0"/>
        <v>1046.0344358858179</v>
      </c>
      <c r="J26" s="22">
        <f t="shared" si="1"/>
        <v>6.101038071291036</v>
      </c>
      <c r="K26" s="22">
        <f t="shared" si="2"/>
        <v>18.193141521067062</v>
      </c>
      <c r="L26" s="22">
        <f t="shared" si="3"/>
        <v>18.193141521067062</v>
      </c>
      <c r="M26" s="11">
        <f t="shared" si="4"/>
        <v>1236.5071264884727</v>
      </c>
      <c r="N26" s="11">
        <f t="shared" si="5"/>
        <v>19030.652527980234</v>
      </c>
      <c r="O26" s="65">
        <f t="shared" si="6"/>
        <v>27.477936144188284</v>
      </c>
      <c r="P26" t="s">
        <v>6</v>
      </c>
      <c r="Q26" s="6">
        <f aca="true" t="shared" si="16" ref="Q26:X26">100*Q25/$X25</f>
        <v>6.25</v>
      </c>
      <c r="R26" s="6">
        <f t="shared" si="16"/>
        <v>7.031249999999999</v>
      </c>
      <c r="S26" s="6">
        <f t="shared" si="16"/>
        <v>11.979166666666668</v>
      </c>
      <c r="T26" s="6">
        <f t="shared" si="16"/>
        <v>19.791666666666668</v>
      </c>
      <c r="U26" s="6">
        <f t="shared" si="16"/>
        <v>23.17708333333333</v>
      </c>
      <c r="V26" s="6">
        <f t="shared" si="16"/>
        <v>21.09375</v>
      </c>
      <c r="W26" s="6">
        <f t="shared" si="16"/>
        <v>10.677083333333332</v>
      </c>
      <c r="X26" s="6">
        <f t="shared" si="16"/>
        <v>100</v>
      </c>
    </row>
    <row r="27" spans="1:24" ht="12.75">
      <c r="A27" t="s">
        <v>394</v>
      </c>
      <c r="B27" s="11">
        <v>1048</v>
      </c>
      <c r="C27" s="11">
        <v>19483</v>
      </c>
      <c r="D27" s="11">
        <f>C27*C$187/(C$187+C$188)</f>
        <v>12889.825087168758</v>
      </c>
      <c r="E27" s="12">
        <f t="shared" si="7"/>
        <v>2.5912685903767456</v>
      </c>
      <c r="F27" s="22">
        <f t="shared" si="8"/>
        <v>12.299451419054158</v>
      </c>
      <c r="G27" s="13">
        <v>42</v>
      </c>
      <c r="H27" s="10">
        <f t="shared" si="9"/>
        <v>63.43452650657</v>
      </c>
      <c r="I27" s="11">
        <f t="shared" si="0"/>
        <v>984.56547349343</v>
      </c>
      <c r="J27" s="22">
        <f t="shared" si="1"/>
        <v>6.052912834596374</v>
      </c>
      <c r="K27" s="22">
        <f t="shared" si="2"/>
        <v>12.299451419054158</v>
      </c>
      <c r="L27" s="22">
        <f t="shared" si="3"/>
        <v>12.299451419054158</v>
      </c>
      <c r="M27" s="11">
        <f t="shared" si="4"/>
        <v>780.209877058261</v>
      </c>
      <c r="N27" s="11">
        <f t="shared" si="5"/>
        <v>12109.615210110496</v>
      </c>
      <c r="O27" s="65">
        <f t="shared" si="6"/>
        <v>18.57642564424431</v>
      </c>
      <c r="P27" t="s">
        <v>464</v>
      </c>
      <c r="Q27" s="4">
        <f>Q28*$X27/100</f>
        <v>157.75169913910287</v>
      </c>
      <c r="R27" s="4">
        <f aca="true" t="shared" si="17" ref="R27:W27">R28*$X27/100</f>
        <v>177.4706615314907</v>
      </c>
      <c r="S27" s="4">
        <f t="shared" si="17"/>
        <v>302.3574233499472</v>
      </c>
      <c r="T27" s="4">
        <f t="shared" si="17"/>
        <v>499.5470472738258</v>
      </c>
      <c r="U27" s="4">
        <f t="shared" si="17"/>
        <v>584.9958843075063</v>
      </c>
      <c r="V27" s="4">
        <f t="shared" si="17"/>
        <v>532.4119845944722</v>
      </c>
      <c r="W27" s="4">
        <f t="shared" si="17"/>
        <v>269.4924860293007</v>
      </c>
      <c r="X27" s="15">
        <f>'Res1807-1913'!E56-EstateMultiplier18171902!X25</f>
        <v>2524.027186225646</v>
      </c>
    </row>
    <row r="28" spans="1:24" ht="12.75">
      <c r="A28" t="s">
        <v>395</v>
      </c>
      <c r="B28" s="11">
        <v>841</v>
      </c>
      <c r="C28" s="11"/>
      <c r="D28" s="11">
        <f>C27*C$188/(C$187+C$188)</f>
        <v>6593.174912831241</v>
      </c>
      <c r="E28" s="12">
        <f t="shared" si="7"/>
        <v>1.3254397904504207</v>
      </c>
      <c r="F28" s="22">
        <f t="shared" si="8"/>
        <v>7.839684795280905</v>
      </c>
      <c r="G28" s="13">
        <v>39</v>
      </c>
      <c r="H28" s="10">
        <f t="shared" si="9"/>
        <v>58.90348889895786</v>
      </c>
      <c r="I28" s="11">
        <f t="shared" si="0"/>
        <v>782.0965111010421</v>
      </c>
      <c r="J28" s="22">
        <f t="shared" si="1"/>
        <v>7.003982033169781</v>
      </c>
      <c r="K28" s="22">
        <f t="shared" si="2"/>
        <v>7.839684795280905</v>
      </c>
      <c r="L28" s="22">
        <f t="shared" si="3"/>
        <v>7.839684795280905</v>
      </c>
      <c r="M28" s="11">
        <f t="shared" si="4"/>
        <v>461.78478631015753</v>
      </c>
      <c r="N28" s="11">
        <f t="shared" si="5"/>
        <v>6131.390126521083</v>
      </c>
      <c r="O28" s="65">
        <f t="shared" si="6"/>
        <v>11.840635546414296</v>
      </c>
      <c r="P28" t="s">
        <v>6</v>
      </c>
      <c r="Q28" s="6">
        <f>Q26</f>
        <v>6.25</v>
      </c>
      <c r="R28" s="6">
        <f aca="true" t="shared" si="18" ref="R28:W28">R26</f>
        <v>7.031249999999999</v>
      </c>
      <c r="S28" s="6">
        <f t="shared" si="18"/>
        <v>11.979166666666668</v>
      </c>
      <c r="T28" s="6">
        <f t="shared" si="18"/>
        <v>19.791666666666668</v>
      </c>
      <c r="U28" s="6">
        <f t="shared" si="18"/>
        <v>23.17708333333333</v>
      </c>
      <c r="V28" s="6">
        <f t="shared" si="18"/>
        <v>21.09375</v>
      </c>
      <c r="W28" s="6">
        <f t="shared" si="18"/>
        <v>10.677083333333332</v>
      </c>
      <c r="X28" s="6">
        <f>100*X27/$X27</f>
        <v>100</v>
      </c>
    </row>
    <row r="29" spans="1:24" ht="12.75">
      <c r="A29" t="s">
        <v>396</v>
      </c>
      <c r="B29" s="11">
        <v>778</v>
      </c>
      <c r="C29" s="11">
        <v>4230</v>
      </c>
      <c r="D29" s="11">
        <f>C29</f>
        <v>4230</v>
      </c>
      <c r="E29" s="12">
        <f t="shared" si="7"/>
        <v>0.8503657779037579</v>
      </c>
      <c r="F29" s="22">
        <f t="shared" si="8"/>
        <v>5.4370179948586115</v>
      </c>
      <c r="G29" s="13">
        <v>41</v>
      </c>
      <c r="H29" s="10">
        <f t="shared" si="9"/>
        <v>61.92418063736596</v>
      </c>
      <c r="I29" s="11">
        <f t="shared" si="0"/>
        <v>716.0758193626341</v>
      </c>
      <c r="J29" s="22">
        <f t="shared" si="1"/>
        <v>7.959406251589454</v>
      </c>
      <c r="K29" s="22">
        <f t="shared" si="2"/>
        <v>5.4370179948586115</v>
      </c>
      <c r="L29" s="22">
        <f t="shared" si="3"/>
        <v>5.4370179948586115</v>
      </c>
      <c r="M29" s="11">
        <f t="shared" si="4"/>
        <v>336.6828844422339</v>
      </c>
      <c r="N29" s="11">
        <f t="shared" si="5"/>
        <v>3893.317115557766</v>
      </c>
      <c r="O29" s="65">
        <f t="shared" si="6"/>
        <v>8.211777669322778</v>
      </c>
      <c r="P29" t="s">
        <v>402</v>
      </c>
      <c r="Q29" s="15">
        <f>$B17+$B18-Q25-Q27</f>
        <v>1664</v>
      </c>
      <c r="R29" s="15">
        <f>$B19+$B20-R25-R27</f>
        <v>1237.75</v>
      </c>
      <c r="S29" s="15">
        <f>$B21+$B22-S25-S27</f>
        <v>1194.1666666666665</v>
      </c>
      <c r="T29" s="15">
        <f>$B23+$B24-T25-T27</f>
        <v>1218.6666666666665</v>
      </c>
      <c r="U29" s="15">
        <f>$B25+$B26-U25-U27</f>
        <v>1553.5833333333335</v>
      </c>
      <c r="V29" s="15">
        <f>$B27+$B28-V25-V27</f>
        <v>1234.25</v>
      </c>
      <c r="W29" s="15">
        <f>$B29-W25-W27</f>
        <v>446.58333333333337</v>
      </c>
      <c r="X29" s="15">
        <f>SUM(Q29:W29)</f>
        <v>8549</v>
      </c>
    </row>
    <row r="30" spans="1:24" ht="12.75">
      <c r="A30" t="s">
        <v>18</v>
      </c>
      <c r="B30" s="11">
        <f>SUM(B17:B29)</f>
        <v>11653</v>
      </c>
      <c r="C30" s="11">
        <f>SUM(C17:C29)</f>
        <v>497433</v>
      </c>
      <c r="D30" s="11">
        <f>SUM(D17:D29)</f>
        <v>497433</v>
      </c>
      <c r="E30" s="12">
        <f t="shared" si="7"/>
        <v>100</v>
      </c>
      <c r="F30" s="22">
        <f t="shared" si="8"/>
        <v>42.68711919677337</v>
      </c>
      <c r="G30" s="11">
        <f>SUM(G17:G29)</f>
        <v>384</v>
      </c>
      <c r="H30" s="11">
        <f>SUM(H17:H29)</f>
        <v>579.9728137743543</v>
      </c>
      <c r="I30" s="11">
        <f>SUM(I17:I29)</f>
        <v>11073.027186225647</v>
      </c>
      <c r="J30" s="22">
        <f t="shared" si="1"/>
        <v>4.977025776833042</v>
      </c>
      <c r="K30" s="22">
        <f>M30/H30</f>
        <v>33.144522497770026</v>
      </c>
      <c r="L30" s="65">
        <f>N30/I30</f>
        <v>43.186932532833744</v>
      </c>
      <c r="M30" s="11">
        <f>SUM(M17:M29)</f>
        <v>19222.921974239074</v>
      </c>
      <c r="N30" s="11">
        <f>SUM(N17:N29)</f>
        <v>478210.0780257609</v>
      </c>
      <c r="O30" s="65">
        <f t="shared" si="6"/>
        <v>50.05969264124759</v>
      </c>
      <c r="P30" t="s">
        <v>6</v>
      </c>
      <c r="Q30" s="6">
        <f aca="true" t="shared" si="19" ref="Q30:X30">100*Q29/$X29</f>
        <v>19.464264826295473</v>
      </c>
      <c r="R30" s="6">
        <f t="shared" si="19"/>
        <v>14.478301555737513</v>
      </c>
      <c r="S30" s="6">
        <f t="shared" si="19"/>
        <v>13.968495340585642</v>
      </c>
      <c r="T30" s="6">
        <f t="shared" si="19"/>
        <v>14.255078566693959</v>
      </c>
      <c r="U30" s="6">
        <f t="shared" si="19"/>
        <v>18.17269076305221</v>
      </c>
      <c r="V30" s="6">
        <f t="shared" si="19"/>
        <v>14.437361094864896</v>
      </c>
      <c r="W30" s="6">
        <f t="shared" si="19"/>
        <v>5.223807852770305</v>
      </c>
      <c r="X30" s="6">
        <f t="shared" si="19"/>
        <v>100</v>
      </c>
    </row>
    <row r="31" spans="2:24" ht="12.75">
      <c r="B31" s="11"/>
      <c r="C31" s="11"/>
      <c r="D31" s="11"/>
      <c r="E31" s="12"/>
      <c r="F31" s="22"/>
      <c r="G31" s="11"/>
      <c r="H31" s="11"/>
      <c r="I31" s="11"/>
      <c r="J31" s="22"/>
      <c r="K31" s="22"/>
      <c r="L31" s="65"/>
      <c r="M31" s="11"/>
      <c r="N31" s="11"/>
      <c r="O31" s="65"/>
      <c r="Q31" s="6"/>
      <c r="R31" s="6"/>
      <c r="S31" s="6"/>
      <c r="T31" s="6"/>
      <c r="U31" s="6"/>
      <c r="V31" s="6"/>
      <c r="W31" s="6"/>
      <c r="X31" s="6"/>
    </row>
    <row r="32" spans="2:24" ht="12.75">
      <c r="B32" s="11"/>
      <c r="C32" s="11"/>
      <c r="D32" s="11"/>
      <c r="E32" s="12"/>
      <c r="F32" s="22"/>
      <c r="G32" s="11"/>
      <c r="H32" s="11"/>
      <c r="I32" s="11"/>
      <c r="J32" s="22"/>
      <c r="K32" s="22"/>
      <c r="L32" s="65"/>
      <c r="M32" s="11"/>
      <c r="N32" s="11"/>
      <c r="O32" s="65"/>
      <c r="Q32" s="6"/>
      <c r="R32" s="6"/>
      <c r="S32" s="6"/>
      <c r="T32" s="6"/>
      <c r="U32" s="6"/>
      <c r="V32" s="6"/>
      <c r="W32" s="6"/>
      <c r="X32" s="6"/>
    </row>
    <row r="33" spans="2:24" ht="12.75">
      <c r="B33" s="11"/>
      <c r="C33" s="11"/>
      <c r="D33" s="11"/>
      <c r="E33" s="12"/>
      <c r="F33" s="22"/>
      <c r="G33" s="11"/>
      <c r="H33" s="11"/>
      <c r="I33" s="11"/>
      <c r="J33" s="22"/>
      <c r="K33" s="22"/>
      <c r="L33" s="65"/>
      <c r="M33" s="11"/>
      <c r="N33" s="11"/>
      <c r="O33" s="65"/>
      <c r="Q33" s="6"/>
      <c r="R33" s="6"/>
      <c r="S33" s="6"/>
      <c r="T33" s="6"/>
      <c r="U33" s="6"/>
      <c r="V33" s="6"/>
      <c r="W33" s="6"/>
      <c r="X33" s="6"/>
    </row>
    <row r="34" spans="2:24" ht="12.75">
      <c r="B34" s="11"/>
      <c r="C34" s="11"/>
      <c r="D34" s="11"/>
      <c r="E34" s="12"/>
      <c r="F34" s="22"/>
      <c r="G34" s="11"/>
      <c r="H34" s="11"/>
      <c r="I34" s="11"/>
      <c r="J34" s="22"/>
      <c r="K34" s="22"/>
      <c r="L34" s="65"/>
      <c r="M34" s="11"/>
      <c r="N34" s="11"/>
      <c r="O34" s="65"/>
      <c r="Q34" s="6"/>
      <c r="R34" s="6"/>
      <c r="S34" s="6"/>
      <c r="T34" s="6"/>
      <c r="U34" s="6"/>
      <c r="V34" s="6"/>
      <c r="W34" s="6"/>
      <c r="X34" s="6"/>
    </row>
    <row r="35" spans="2:15" ht="12.75">
      <c r="B35" s="21"/>
      <c r="C35" s="21"/>
      <c r="D35" s="21"/>
      <c r="E35" s="21"/>
      <c r="F35" s="21"/>
      <c r="K35" s="69" t="s">
        <v>411</v>
      </c>
      <c r="L35" s="69"/>
      <c r="M35" s="69"/>
      <c r="N35" s="69"/>
      <c r="O35" s="69"/>
    </row>
    <row r="36" spans="1:23" ht="12.75">
      <c r="A36" s="64">
        <v>1827</v>
      </c>
      <c r="B36" t="s">
        <v>383</v>
      </c>
      <c r="C36" t="s">
        <v>471</v>
      </c>
      <c r="D36" t="s">
        <v>420</v>
      </c>
      <c r="E36" t="s">
        <v>6</v>
      </c>
      <c r="F36" t="s">
        <v>398</v>
      </c>
      <c r="G36" t="s">
        <v>421</v>
      </c>
      <c r="H36" t="s">
        <v>472</v>
      </c>
      <c r="I36" t="s">
        <v>422</v>
      </c>
      <c r="J36" t="s">
        <v>423</v>
      </c>
      <c r="K36" t="s">
        <v>425</v>
      </c>
      <c r="L36" t="s">
        <v>426</v>
      </c>
      <c r="M36" t="s">
        <v>427</v>
      </c>
      <c r="N36" t="s">
        <v>428</v>
      </c>
      <c r="O36" t="s">
        <v>425</v>
      </c>
      <c r="Q36" t="s">
        <v>364</v>
      </c>
      <c r="R36" t="s">
        <v>365</v>
      </c>
      <c r="S36" t="s">
        <v>366</v>
      </c>
      <c r="T36" t="s">
        <v>367</v>
      </c>
      <c r="U36" t="s">
        <v>368</v>
      </c>
      <c r="V36" t="s">
        <v>369</v>
      </c>
      <c r="W36" t="s">
        <v>0</v>
      </c>
    </row>
    <row r="37" spans="1:24" ht="12.75">
      <c r="A37" t="s">
        <v>384</v>
      </c>
      <c r="B37" s="11">
        <v>1291</v>
      </c>
      <c r="C37" s="11">
        <f>(C17+C57)/2</f>
        <v>83970</v>
      </c>
      <c r="D37" s="11">
        <f>C37</f>
        <v>83970</v>
      </c>
      <c r="E37" s="12">
        <f>100*D37/D$30</f>
        <v>16.880665335834173</v>
      </c>
      <c r="F37" s="22">
        <f>D37/B37</f>
        <v>65.04260263361735</v>
      </c>
      <c r="G37" s="13">
        <v>12</v>
      </c>
      <c r="H37" s="10">
        <f>G37/0.5904</f>
        <v>20.32520325203252</v>
      </c>
      <c r="I37" s="11">
        <f aca="true" t="shared" si="20" ref="I37:I49">B37-H37</f>
        <v>1270.6747967479675</v>
      </c>
      <c r="J37" s="22">
        <f aca="true" t="shared" si="21" ref="J37:J50">100*H37/B37</f>
        <v>1.5743767042627823</v>
      </c>
      <c r="K37" s="22">
        <f aca="true" t="shared" si="22" ref="K37:K49">F37</f>
        <v>65.04260263361735</v>
      </c>
      <c r="L37" s="22">
        <f aca="true" t="shared" si="23" ref="L37:L49">F37</f>
        <v>65.04260263361735</v>
      </c>
      <c r="M37" s="11">
        <f aca="true" t="shared" si="24" ref="M37:M49">H37*K37</f>
        <v>1322.0041185694583</v>
      </c>
      <c r="N37" s="11">
        <f aca="true" t="shared" si="25" ref="N37:N49">I37*L37</f>
        <v>82647.99588143054</v>
      </c>
      <c r="O37" s="65">
        <f aca="true" t="shared" si="26" ref="O37:O50">K37*H37/G37</f>
        <v>110.1670098807882</v>
      </c>
      <c r="P37" t="s">
        <v>436</v>
      </c>
      <c r="Q37" s="15">
        <f>$M37+$M38</f>
        <v>2763.0655042633794</v>
      </c>
      <c r="R37" s="15">
        <f>$M39+$M40</f>
        <v>5705.038593650876</v>
      </c>
      <c r="S37" s="15">
        <f>$M41+$M42</f>
        <v>4332.0082332846505</v>
      </c>
      <c r="T37" s="15">
        <f>$M43+$M44</f>
        <v>5499.004876438172</v>
      </c>
      <c r="U37" s="15">
        <f>$M45+$M46</f>
        <v>3094.5891738095706</v>
      </c>
      <c r="V37" s="15">
        <f>$M47+$M48</f>
        <v>1246.334793070439</v>
      </c>
      <c r="W37" s="15">
        <f>$M49</f>
        <v>260.23804951210366</v>
      </c>
      <c r="X37" s="15">
        <f>SUM(Q37:W37)</f>
        <v>22900.279224029193</v>
      </c>
    </row>
    <row r="38" spans="1:24" ht="12.75">
      <c r="A38" t="s">
        <v>385</v>
      </c>
      <c r="B38" s="11">
        <v>1249</v>
      </c>
      <c r="C38" s="11">
        <f aca="true" t="shared" si="27" ref="C38:C49">(C18+C58)/2</f>
        <v>81742.5</v>
      </c>
      <c r="D38" s="11">
        <f>C38</f>
        <v>81742.5</v>
      </c>
      <c r="E38" s="12">
        <f aca="true" t="shared" si="28" ref="E38:E50">100*D38/D$30</f>
        <v>16.432866335767834</v>
      </c>
      <c r="F38" s="22">
        <f aca="true" t="shared" si="29" ref="F38:F50">D38/B38</f>
        <v>65.44635708566854</v>
      </c>
      <c r="G38" s="13">
        <v>13</v>
      </c>
      <c r="H38" s="10">
        <f aca="true" t="shared" si="30" ref="H38:H49">G38/0.5904</f>
        <v>22.018970189701896</v>
      </c>
      <c r="I38" s="11">
        <f t="shared" si="20"/>
        <v>1226.9810298102982</v>
      </c>
      <c r="J38" s="22">
        <f t="shared" si="21"/>
        <v>1.7629279575421855</v>
      </c>
      <c r="K38" s="22">
        <f t="shared" si="22"/>
        <v>65.44635708566854</v>
      </c>
      <c r="L38" s="22">
        <f t="shared" si="23"/>
        <v>65.44635708566854</v>
      </c>
      <c r="M38" s="11">
        <f t="shared" si="24"/>
        <v>1441.061385693921</v>
      </c>
      <c r="N38" s="11">
        <f t="shared" si="25"/>
        <v>80301.43861430608</v>
      </c>
      <c r="O38" s="65">
        <f t="shared" si="26"/>
        <v>110.85087582260931</v>
      </c>
      <c r="P38" t="s">
        <v>428</v>
      </c>
      <c r="Q38" s="15">
        <f>$N37+$N38</f>
        <v>162949.4344957366</v>
      </c>
      <c r="R38" s="15">
        <f>$N39+$N40</f>
        <v>142815.96140634912</v>
      </c>
      <c r="S38" s="15">
        <f>$N41+$N42</f>
        <v>97116.99176671533</v>
      </c>
      <c r="T38" s="15">
        <f>$N43+$N44</f>
        <v>65657.99512356182</v>
      </c>
      <c r="U38" s="15">
        <f>$N45+$N46</f>
        <v>43946.41082619043</v>
      </c>
      <c r="V38" s="15">
        <f>$N47+$N48</f>
        <v>18941.665206929563</v>
      </c>
      <c r="W38" s="15">
        <f>$N49</f>
        <v>4292.761950487897</v>
      </c>
      <c r="X38" s="15">
        <f>SUM(Q38:W38)</f>
        <v>535721.2207759707</v>
      </c>
    </row>
    <row r="39" spans="1:23" ht="12.75">
      <c r="A39" t="s">
        <v>386</v>
      </c>
      <c r="B39" s="11">
        <v>987</v>
      </c>
      <c r="C39" s="11">
        <f t="shared" si="27"/>
        <v>148521</v>
      </c>
      <c r="D39" s="11">
        <f>C39*C$179/(C$179+C$180)</f>
        <v>76890.0457169312</v>
      </c>
      <c r="E39" s="12">
        <f t="shared" si="28"/>
        <v>15.457367266934682</v>
      </c>
      <c r="F39" s="22">
        <f t="shared" si="29"/>
        <v>77.90278188138926</v>
      </c>
      <c r="G39" s="13">
        <v>18</v>
      </c>
      <c r="H39" s="10">
        <f t="shared" si="30"/>
        <v>30.487804878048777</v>
      </c>
      <c r="I39" s="11">
        <f t="shared" si="20"/>
        <v>956.5121951219512</v>
      </c>
      <c r="J39" s="22">
        <f t="shared" si="21"/>
        <v>3.088936664442632</v>
      </c>
      <c r="K39" s="22">
        <f t="shared" si="22"/>
        <v>77.90278188138926</v>
      </c>
      <c r="L39" s="22">
        <f t="shared" si="23"/>
        <v>77.90278188138926</v>
      </c>
      <c r="M39" s="11">
        <f t="shared" si="24"/>
        <v>2375.084813456989</v>
      </c>
      <c r="N39" s="11">
        <f t="shared" si="25"/>
        <v>74514.9609034742</v>
      </c>
      <c r="O39" s="65">
        <f t="shared" si="26"/>
        <v>131.94915630316606</v>
      </c>
      <c r="P39" t="s">
        <v>437</v>
      </c>
      <c r="Q39" s="3">
        <f aca="true" t="shared" si="31" ref="Q39:W39">Q37/(Q37+Q38)</f>
        <v>0.016673850821533557</v>
      </c>
      <c r="R39" s="3">
        <f t="shared" si="31"/>
        <v>0.0384123362598614</v>
      </c>
      <c r="S39" s="3">
        <f t="shared" si="31"/>
        <v>0.042701339917442765</v>
      </c>
      <c r="T39" s="3">
        <f t="shared" si="31"/>
        <v>0.07727988639822043</v>
      </c>
      <c r="U39" s="3">
        <f t="shared" si="31"/>
        <v>0.06578493598795881</v>
      </c>
      <c r="V39" s="3">
        <f t="shared" si="31"/>
        <v>0.06173641733061416</v>
      </c>
      <c r="W39" s="3">
        <f t="shared" si="31"/>
        <v>0.05715748946015894</v>
      </c>
    </row>
    <row r="40" spans="1:24" ht="12.75">
      <c r="A40" t="s">
        <v>387</v>
      </c>
      <c r="B40" s="11">
        <v>838</v>
      </c>
      <c r="C40" s="11"/>
      <c r="D40" s="11">
        <f>C39*C$180/(C$179+C$180)</f>
        <v>71630.9542830688</v>
      </c>
      <c r="E40" s="12">
        <f t="shared" si="28"/>
        <v>14.400121078229391</v>
      </c>
      <c r="F40" s="22">
        <f t="shared" si="29"/>
        <v>85.47846573158569</v>
      </c>
      <c r="G40" s="13">
        <v>23</v>
      </c>
      <c r="H40" s="10">
        <f t="shared" si="30"/>
        <v>38.95663956639566</v>
      </c>
      <c r="I40" s="11">
        <f t="shared" si="20"/>
        <v>799.0433604336043</v>
      </c>
      <c r="J40" s="22">
        <f t="shared" si="21"/>
        <v>4.648763671407596</v>
      </c>
      <c r="K40" s="22">
        <f t="shared" si="22"/>
        <v>85.47846573158569</v>
      </c>
      <c r="L40" s="22">
        <f t="shared" si="23"/>
        <v>85.47846573158569</v>
      </c>
      <c r="M40" s="11">
        <f t="shared" si="24"/>
        <v>3329.9537801938864</v>
      </c>
      <c r="N40" s="11">
        <f t="shared" si="25"/>
        <v>68301.00050287491</v>
      </c>
      <c r="O40" s="65">
        <f t="shared" si="26"/>
        <v>144.78059913886463</v>
      </c>
      <c r="P40" t="s">
        <v>438</v>
      </c>
      <c r="Q40" s="15">
        <f>Q37+Q38</f>
        <v>165712.5</v>
      </c>
      <c r="R40" s="15">
        <f aca="true" t="shared" si="32" ref="R40:W40">R37+R38</f>
        <v>148521</v>
      </c>
      <c r="S40" s="15">
        <f t="shared" si="32"/>
        <v>101448.99999999999</v>
      </c>
      <c r="T40" s="15">
        <f t="shared" si="32"/>
        <v>71157</v>
      </c>
      <c r="U40" s="15">
        <f t="shared" si="32"/>
        <v>47041</v>
      </c>
      <c r="V40" s="15">
        <f t="shared" si="32"/>
        <v>20188.000000000004</v>
      </c>
      <c r="W40" s="15">
        <f t="shared" si="32"/>
        <v>4553</v>
      </c>
      <c r="X40" s="15">
        <f>SUM(Q40:W40)</f>
        <v>558621.5</v>
      </c>
    </row>
    <row r="41" spans="1:23" ht="12.75">
      <c r="A41" t="s">
        <v>388</v>
      </c>
      <c r="B41" s="11">
        <v>826</v>
      </c>
      <c r="C41" s="11">
        <f t="shared" si="27"/>
        <v>101449</v>
      </c>
      <c r="D41" s="11">
        <f>C41*C$181/(C$181+C$182)</f>
        <v>56582.82327180685</v>
      </c>
      <c r="E41" s="12">
        <f t="shared" si="28"/>
        <v>11.374963718090044</v>
      </c>
      <c r="F41" s="22">
        <f t="shared" si="29"/>
        <v>68.50220735085574</v>
      </c>
      <c r="G41" s="13">
        <v>24</v>
      </c>
      <c r="H41" s="10">
        <f t="shared" si="30"/>
        <v>40.65040650406504</v>
      </c>
      <c r="I41" s="11">
        <f t="shared" si="20"/>
        <v>785.349593495935</v>
      </c>
      <c r="J41" s="22">
        <f t="shared" si="21"/>
        <v>4.921356719620465</v>
      </c>
      <c r="K41" s="22">
        <f t="shared" si="22"/>
        <v>68.50220735085574</v>
      </c>
      <c r="L41" s="22">
        <f t="shared" si="23"/>
        <v>68.50220735085574</v>
      </c>
      <c r="M41" s="11">
        <f t="shared" si="24"/>
        <v>2784.6425752380383</v>
      </c>
      <c r="N41" s="11">
        <f t="shared" si="25"/>
        <v>53798.18069656881</v>
      </c>
      <c r="O41" s="65">
        <f t="shared" si="26"/>
        <v>116.02677396825159</v>
      </c>
      <c r="P41" t="s">
        <v>6</v>
      </c>
      <c r="Q41" s="6">
        <f aca="true" t="shared" si="33" ref="Q41:W41">100*Q40/$X40</f>
        <v>29.66454030143845</v>
      </c>
      <c r="R41" s="6">
        <f t="shared" si="33"/>
        <v>26.587054024952494</v>
      </c>
      <c r="S41" s="6">
        <f t="shared" si="33"/>
        <v>18.16059711271406</v>
      </c>
      <c r="T41" s="6">
        <f t="shared" si="33"/>
        <v>12.737963003572187</v>
      </c>
      <c r="U41" s="6">
        <f t="shared" si="33"/>
        <v>8.420907537572399</v>
      </c>
      <c r="V41" s="6">
        <f t="shared" si="33"/>
        <v>3.6138959921879135</v>
      </c>
      <c r="W41" s="6">
        <f t="shared" si="33"/>
        <v>0.8150420275624909</v>
      </c>
    </row>
    <row r="42" spans="1:24" ht="12.75">
      <c r="A42" t="s">
        <v>389</v>
      </c>
      <c r="B42" s="11">
        <v>884</v>
      </c>
      <c r="C42" s="11"/>
      <c r="D42" s="11">
        <f>C41*C$182/(C$181+C$182)</f>
        <v>44866.17672819315</v>
      </c>
      <c r="E42" s="12">
        <f t="shared" si="28"/>
        <v>9.019541672585685</v>
      </c>
      <c r="F42" s="22">
        <f t="shared" si="29"/>
        <v>50.753593583928904</v>
      </c>
      <c r="G42" s="13">
        <v>18</v>
      </c>
      <c r="H42" s="10">
        <f t="shared" si="30"/>
        <v>30.487804878048777</v>
      </c>
      <c r="I42" s="11">
        <f t="shared" si="20"/>
        <v>853.5121951219512</v>
      </c>
      <c r="J42" s="22">
        <f t="shared" si="21"/>
        <v>3.4488467056616265</v>
      </c>
      <c r="K42" s="22">
        <f t="shared" si="22"/>
        <v>50.753593583928904</v>
      </c>
      <c r="L42" s="22">
        <f t="shared" si="23"/>
        <v>50.753593583928904</v>
      </c>
      <c r="M42" s="11">
        <f t="shared" si="24"/>
        <v>1547.3656580466127</v>
      </c>
      <c r="N42" s="11">
        <f t="shared" si="25"/>
        <v>43318.811070146534</v>
      </c>
      <c r="O42" s="65">
        <f t="shared" si="26"/>
        <v>85.96475878036738</v>
      </c>
      <c r="P42" t="s">
        <v>460</v>
      </c>
      <c r="Q42" s="15">
        <f>Q38*Q44/100</f>
        <v>12421.858863958307</v>
      </c>
      <c r="R42" s="15">
        <f aca="true" t="shared" si="34" ref="R42:W42">R38*R44/100</f>
        <v>25402.259262041956</v>
      </c>
      <c r="S42" s="15">
        <f t="shared" si="34"/>
        <v>18955.20561299732</v>
      </c>
      <c r="T42" s="15">
        <f t="shared" si="34"/>
        <v>24653.382141416663</v>
      </c>
      <c r="U42" s="15">
        <f t="shared" si="34"/>
        <v>13662.306343224232</v>
      </c>
      <c r="V42" s="15">
        <f t="shared" si="34"/>
        <v>5605.619305842057</v>
      </c>
      <c r="W42" s="15">
        <f t="shared" si="34"/>
        <v>1170.155184870184</v>
      </c>
      <c r="X42" s="15">
        <f>SUM(Q42:W42)</f>
        <v>101870.78671435072</v>
      </c>
    </row>
    <row r="43" spans="1:24" ht="12.75">
      <c r="A43" t="s">
        <v>390</v>
      </c>
      <c r="B43" s="11">
        <v>914</v>
      </c>
      <c r="C43" s="11">
        <f t="shared" si="27"/>
        <v>71157</v>
      </c>
      <c r="D43" s="11">
        <f>C43*(C$183/(C$183+C$184)-0.04)</f>
        <v>36997.43744965635</v>
      </c>
      <c r="E43" s="12">
        <f t="shared" si="28"/>
        <v>7.4376725005490885</v>
      </c>
      <c r="F43" s="22">
        <f t="shared" si="29"/>
        <v>40.478596772052896</v>
      </c>
      <c r="G43" s="13">
        <v>43</v>
      </c>
      <c r="H43" s="10">
        <f t="shared" si="30"/>
        <v>72.83197831978319</v>
      </c>
      <c r="I43" s="11">
        <f t="shared" si="20"/>
        <v>841.1680216802168</v>
      </c>
      <c r="J43" s="22">
        <f t="shared" si="21"/>
        <v>7.968487781157899</v>
      </c>
      <c r="K43" s="22">
        <f t="shared" si="22"/>
        <v>40.478596772052896</v>
      </c>
      <c r="L43" s="22">
        <f t="shared" si="23"/>
        <v>40.478596772052896</v>
      </c>
      <c r="M43" s="11">
        <f t="shared" si="24"/>
        <v>2948.1362825174024</v>
      </c>
      <c r="N43" s="11">
        <f t="shared" si="25"/>
        <v>34049.30116713895</v>
      </c>
      <c r="O43" s="65">
        <f t="shared" si="26"/>
        <v>68.56130889575354</v>
      </c>
      <c r="P43" t="s">
        <v>405</v>
      </c>
      <c r="Q43" s="15">
        <f aca="true" t="shared" si="35" ref="Q43:W43">Q38-Q42</f>
        <v>150527.5756317783</v>
      </c>
      <c r="R43" s="15">
        <f t="shared" si="35"/>
        <v>117413.70214430716</v>
      </c>
      <c r="S43" s="15">
        <f t="shared" si="35"/>
        <v>78161.78615371801</v>
      </c>
      <c r="T43" s="15">
        <f t="shared" si="35"/>
        <v>41004.61298214516</v>
      </c>
      <c r="U43" s="15">
        <f t="shared" si="35"/>
        <v>30284.1044829662</v>
      </c>
      <c r="V43" s="15">
        <f t="shared" si="35"/>
        <v>13336.045901087506</v>
      </c>
      <c r="W43" s="15">
        <f t="shared" si="35"/>
        <v>3122.606765617713</v>
      </c>
      <c r="X43" s="15">
        <f>SUM(Q43:W43)</f>
        <v>433850.4340616201</v>
      </c>
    </row>
    <row r="44" spans="1:24" ht="12.75">
      <c r="A44" t="s">
        <v>391</v>
      </c>
      <c r="B44" s="11">
        <v>998</v>
      </c>
      <c r="C44" s="11"/>
      <c r="D44" s="11">
        <f>C43*(C$184/(C$183+C$184)+0.04)</f>
        <v>34159.562550343646</v>
      </c>
      <c r="E44" s="12">
        <f t="shared" si="28"/>
        <v>6.867168553421998</v>
      </c>
      <c r="F44" s="22">
        <f t="shared" si="29"/>
        <v>34.22801858751868</v>
      </c>
      <c r="G44" s="13">
        <v>44</v>
      </c>
      <c r="H44" s="10">
        <f t="shared" si="30"/>
        <v>74.52574525745257</v>
      </c>
      <c r="I44" s="11">
        <f t="shared" si="20"/>
        <v>923.4742547425474</v>
      </c>
      <c r="J44" s="22">
        <f t="shared" si="21"/>
        <v>7.467509544834927</v>
      </c>
      <c r="K44" s="22">
        <f t="shared" si="22"/>
        <v>34.22801858751868</v>
      </c>
      <c r="L44" s="22">
        <f t="shared" si="23"/>
        <v>34.22801858751868</v>
      </c>
      <c r="M44" s="11">
        <f t="shared" si="24"/>
        <v>2550.868593920769</v>
      </c>
      <c r="N44" s="11">
        <f t="shared" si="25"/>
        <v>31608.693956422874</v>
      </c>
      <c r="O44" s="65">
        <f t="shared" si="26"/>
        <v>57.97428622547202</v>
      </c>
      <c r="P44" t="s">
        <v>461</v>
      </c>
      <c r="Q44" s="6">
        <f>100*Q47/(Q47+Q49)</f>
        <v>7.623137142144124</v>
      </c>
      <c r="R44" s="6">
        <f aca="true" t="shared" si="36" ref="R44:X44">100*R47/(R47+R49)</f>
        <v>17.786708860759493</v>
      </c>
      <c r="S44" s="6">
        <f t="shared" si="36"/>
        <v>19.517908522670893</v>
      </c>
      <c r="T44" s="6">
        <f t="shared" si="36"/>
        <v>37.5481799208481</v>
      </c>
      <c r="U44" s="6">
        <f t="shared" si="36"/>
        <v>31.088560103939148</v>
      </c>
      <c r="V44" s="6">
        <f t="shared" si="36"/>
        <v>29.594120921276307</v>
      </c>
      <c r="W44" s="6">
        <f t="shared" si="36"/>
        <v>27.258795115279785</v>
      </c>
      <c r="X44" s="6">
        <f t="shared" si="36"/>
        <v>23.764544716547153</v>
      </c>
    </row>
    <row r="45" spans="1:24" ht="12.75">
      <c r="A45" t="s">
        <v>392</v>
      </c>
      <c r="B45" s="11">
        <v>1168</v>
      </c>
      <c r="C45" s="11">
        <f t="shared" si="27"/>
        <v>47041</v>
      </c>
      <c r="D45" s="11">
        <f>C45*C$185/(C$185+C$186)</f>
        <v>27905.895285286966</v>
      </c>
      <c r="E45" s="12">
        <f t="shared" si="28"/>
        <v>5.609980697960723</v>
      </c>
      <c r="F45" s="22">
        <f t="shared" si="29"/>
        <v>23.8920336346635</v>
      </c>
      <c r="G45" s="13">
        <v>48</v>
      </c>
      <c r="H45" s="10">
        <f t="shared" si="30"/>
        <v>81.30081300813008</v>
      </c>
      <c r="I45" s="11">
        <f t="shared" si="20"/>
        <v>1086.69918699187</v>
      </c>
      <c r="J45" s="22">
        <f t="shared" si="21"/>
        <v>6.960686045216616</v>
      </c>
      <c r="K45" s="22">
        <f t="shared" si="22"/>
        <v>23.8920336346635</v>
      </c>
      <c r="L45" s="22">
        <f t="shared" si="23"/>
        <v>23.8920336346635</v>
      </c>
      <c r="M45" s="11">
        <f t="shared" si="24"/>
        <v>1942.4417589157315</v>
      </c>
      <c r="N45" s="11">
        <f t="shared" si="25"/>
        <v>25963.453526371235</v>
      </c>
      <c r="O45" s="65">
        <f t="shared" si="26"/>
        <v>40.46753664407774</v>
      </c>
      <c r="P45" t="s">
        <v>463</v>
      </c>
      <c r="Q45" s="4">
        <f>H37+H38</f>
        <v>42.34417344173441</v>
      </c>
      <c r="R45" s="4">
        <f>H39+H40</f>
        <v>69.44444444444443</v>
      </c>
      <c r="S45" s="4">
        <f>H41+H42</f>
        <v>71.13821138211381</v>
      </c>
      <c r="T45" s="4">
        <f>H43+H44</f>
        <v>147.35772357723576</v>
      </c>
      <c r="U45" s="4">
        <f>H45+H46</f>
        <v>159.2140921409214</v>
      </c>
      <c r="V45" s="4">
        <f>H47+H48</f>
        <v>154.13279132791325</v>
      </c>
      <c r="W45" s="4">
        <f>H49</f>
        <v>50.8130081300813</v>
      </c>
      <c r="X45" s="15">
        <f>SUM(Q45:W45)</f>
        <v>694.4444444444443</v>
      </c>
    </row>
    <row r="46" spans="1:24" ht="12.75">
      <c r="A46" t="s">
        <v>393</v>
      </c>
      <c r="B46" s="11">
        <v>1294</v>
      </c>
      <c r="C46" s="11"/>
      <c r="D46" s="11">
        <f>C45*C$186/(C$185+C$186)</f>
        <v>19135.104714713034</v>
      </c>
      <c r="E46" s="12">
        <f t="shared" si="28"/>
        <v>3.8467702614649677</v>
      </c>
      <c r="F46" s="22">
        <f t="shared" si="29"/>
        <v>14.787561603333103</v>
      </c>
      <c r="G46" s="13">
        <v>46</v>
      </c>
      <c r="H46" s="10">
        <f t="shared" si="30"/>
        <v>77.91327913279132</v>
      </c>
      <c r="I46" s="11">
        <f t="shared" si="20"/>
        <v>1216.0867208672087</v>
      </c>
      <c r="J46" s="22">
        <f t="shared" si="21"/>
        <v>6.0211189438014925</v>
      </c>
      <c r="K46" s="22">
        <f t="shared" si="22"/>
        <v>14.787561603333103</v>
      </c>
      <c r="L46" s="22">
        <f t="shared" si="23"/>
        <v>14.787561603333103</v>
      </c>
      <c r="M46" s="11">
        <f t="shared" si="24"/>
        <v>1152.1474148938391</v>
      </c>
      <c r="N46" s="11">
        <f t="shared" si="25"/>
        <v>17982.957299819194</v>
      </c>
      <c r="O46" s="65">
        <f t="shared" si="26"/>
        <v>25.046682932474763</v>
      </c>
      <c r="P46" t="s">
        <v>6</v>
      </c>
      <c r="Q46" s="6">
        <f aca="true" t="shared" si="37" ref="Q46:X46">100*Q45/$X45</f>
        <v>6.097560975609756</v>
      </c>
      <c r="R46" s="6">
        <f t="shared" si="37"/>
        <v>9.999999999999998</v>
      </c>
      <c r="S46" s="6">
        <f t="shared" si="37"/>
        <v>10.243902439024389</v>
      </c>
      <c r="T46" s="6">
        <f t="shared" si="37"/>
        <v>21.21951219512195</v>
      </c>
      <c r="U46" s="6">
        <f t="shared" si="37"/>
        <v>22.926829268292686</v>
      </c>
      <c r="V46" s="6">
        <f t="shared" si="37"/>
        <v>22.195121951219512</v>
      </c>
      <c r="W46" s="6">
        <f t="shared" si="37"/>
        <v>7.317073170731708</v>
      </c>
      <c r="X46" s="6">
        <f t="shared" si="37"/>
        <v>100</v>
      </c>
    </row>
    <row r="47" spans="1:24" ht="12.75">
      <c r="A47" t="s">
        <v>394</v>
      </c>
      <c r="B47" s="11">
        <v>1428</v>
      </c>
      <c r="C47" s="11">
        <f t="shared" si="27"/>
        <v>20188</v>
      </c>
      <c r="D47" s="11">
        <f>C47*C$187/(C$187+C$188)</f>
        <v>13356.248465829847</v>
      </c>
      <c r="E47" s="12">
        <f t="shared" si="28"/>
        <v>2.68503466111614</v>
      </c>
      <c r="F47" s="22">
        <f t="shared" si="29"/>
        <v>9.353115172149753</v>
      </c>
      <c r="G47" s="13">
        <v>52</v>
      </c>
      <c r="H47" s="10">
        <f t="shared" si="30"/>
        <v>88.07588075880759</v>
      </c>
      <c r="I47" s="11">
        <f t="shared" si="20"/>
        <v>1339.9241192411923</v>
      </c>
      <c r="J47" s="22">
        <f t="shared" si="21"/>
        <v>6.16777876462238</v>
      </c>
      <c r="K47" s="22">
        <f t="shared" si="22"/>
        <v>9.353115172149753</v>
      </c>
      <c r="L47" s="22">
        <f t="shared" si="23"/>
        <v>9.353115172149753</v>
      </c>
      <c r="M47" s="11">
        <f t="shared" si="24"/>
        <v>823.7838566256557</v>
      </c>
      <c r="N47" s="11">
        <f t="shared" si="25"/>
        <v>12532.464609204191</v>
      </c>
      <c r="O47" s="65">
        <f t="shared" si="26"/>
        <v>15.841997242801073</v>
      </c>
      <c r="P47" t="s">
        <v>464</v>
      </c>
      <c r="Q47" s="4">
        <f aca="true" t="shared" si="38" ref="Q47:W47">Q48*$X47/100</f>
        <v>190.39972899728997</v>
      </c>
      <c r="R47" s="4">
        <f t="shared" si="38"/>
        <v>312.25555555555553</v>
      </c>
      <c r="S47" s="4">
        <f t="shared" si="38"/>
        <v>319.8715447154471</v>
      </c>
      <c r="T47" s="4">
        <f t="shared" si="38"/>
        <v>662.5910569105691</v>
      </c>
      <c r="U47" s="4">
        <f t="shared" si="38"/>
        <v>715.9029810298105</v>
      </c>
      <c r="V47" s="4">
        <f t="shared" si="38"/>
        <v>693.0550135501355</v>
      </c>
      <c r="W47" s="4">
        <f t="shared" si="38"/>
        <v>228.47967479674796</v>
      </c>
      <c r="X47" s="15">
        <f>'Res1807-1913'!E57-EstateMultiplier18171902!X45</f>
        <v>3122.5555555555557</v>
      </c>
    </row>
    <row r="48" spans="1:24" ht="12.75">
      <c r="A48" t="s">
        <v>395</v>
      </c>
      <c r="B48" s="11">
        <v>1068</v>
      </c>
      <c r="C48" s="11"/>
      <c r="D48" s="11">
        <f>C47*C$188/(C$187+C$188)</f>
        <v>6831.751534170154</v>
      </c>
      <c r="E48" s="12">
        <f t="shared" si="28"/>
        <v>1.3734013493616535</v>
      </c>
      <c r="F48" s="22">
        <f t="shared" si="29"/>
        <v>6.396771099410256</v>
      </c>
      <c r="G48" s="13">
        <v>39</v>
      </c>
      <c r="H48" s="10">
        <f t="shared" si="30"/>
        <v>66.05691056910568</v>
      </c>
      <c r="I48" s="11">
        <f t="shared" si="20"/>
        <v>1001.9430894308944</v>
      </c>
      <c r="J48" s="22">
        <f t="shared" si="21"/>
        <v>6.185103985871319</v>
      </c>
      <c r="K48" s="22">
        <f t="shared" si="22"/>
        <v>6.396771099410256</v>
      </c>
      <c r="L48" s="22">
        <f t="shared" si="23"/>
        <v>6.396771099410256</v>
      </c>
      <c r="M48" s="11">
        <f t="shared" si="24"/>
        <v>422.55093644478313</v>
      </c>
      <c r="N48" s="11">
        <f t="shared" si="25"/>
        <v>6409.200597725371</v>
      </c>
      <c r="O48" s="65">
        <f t="shared" si="26"/>
        <v>10.83463939602008</v>
      </c>
      <c r="P48" t="s">
        <v>6</v>
      </c>
      <c r="Q48" s="6">
        <f>Q46</f>
        <v>6.097560975609756</v>
      </c>
      <c r="R48" s="6">
        <f aca="true" t="shared" si="39" ref="R48:W48">R46</f>
        <v>9.999999999999998</v>
      </c>
      <c r="S48" s="6">
        <f t="shared" si="39"/>
        <v>10.243902439024389</v>
      </c>
      <c r="T48" s="6">
        <f t="shared" si="39"/>
        <v>21.21951219512195</v>
      </c>
      <c r="U48" s="6">
        <f t="shared" si="39"/>
        <v>22.926829268292686</v>
      </c>
      <c r="V48" s="6">
        <f t="shared" si="39"/>
        <v>22.195121951219512</v>
      </c>
      <c r="W48" s="6">
        <f t="shared" si="39"/>
        <v>7.317073170731708</v>
      </c>
      <c r="X48" s="6">
        <f>100*X47/$X47</f>
        <v>100</v>
      </c>
    </row>
    <row r="49" spans="1:24" ht="12.75">
      <c r="A49" t="s">
        <v>396</v>
      </c>
      <c r="B49" s="11">
        <v>889</v>
      </c>
      <c r="C49" s="11">
        <f t="shared" si="27"/>
        <v>4553</v>
      </c>
      <c r="D49" s="11">
        <f>C49</f>
        <v>4553</v>
      </c>
      <c r="E49" s="12">
        <f t="shared" si="28"/>
        <v>0.9152991458146122</v>
      </c>
      <c r="F49" s="22">
        <f t="shared" si="29"/>
        <v>5.1214848143982</v>
      </c>
      <c r="G49" s="13">
        <v>30</v>
      </c>
      <c r="H49" s="10">
        <f t="shared" si="30"/>
        <v>50.8130081300813</v>
      </c>
      <c r="I49" s="11">
        <f t="shared" si="20"/>
        <v>838.1869918699188</v>
      </c>
      <c r="J49" s="22">
        <f t="shared" si="21"/>
        <v>5.715748946015894</v>
      </c>
      <c r="K49" s="22">
        <f t="shared" si="22"/>
        <v>5.1214848143982</v>
      </c>
      <c r="L49" s="22">
        <f t="shared" si="23"/>
        <v>5.1214848143982</v>
      </c>
      <c r="M49" s="11">
        <f t="shared" si="24"/>
        <v>260.23804951210366</v>
      </c>
      <c r="N49" s="11">
        <f t="shared" si="25"/>
        <v>4292.761950487897</v>
      </c>
      <c r="O49" s="65">
        <f t="shared" si="26"/>
        <v>8.674601650403455</v>
      </c>
      <c r="P49" t="s">
        <v>402</v>
      </c>
      <c r="Q49" s="15">
        <f>$B37+$B38-Q45-Q47</f>
        <v>2307.256097560976</v>
      </c>
      <c r="R49" s="15">
        <f>$B39+$B40-R45-R47</f>
        <v>1443.3000000000002</v>
      </c>
      <c r="S49" s="15">
        <f>$B41+$B42-S45-S47</f>
        <v>1318.9902439024393</v>
      </c>
      <c r="T49" s="15">
        <f>$B43+$B44-T45-T47</f>
        <v>1102.051219512195</v>
      </c>
      <c r="U49" s="15">
        <f>$B45+$B46-U45-U47</f>
        <v>1586.8829268292682</v>
      </c>
      <c r="V49" s="15">
        <f>$B47+$B48-V45-V47</f>
        <v>1648.8121951219512</v>
      </c>
      <c r="W49" s="15">
        <f>$B49-W45-W47</f>
        <v>609.7073170731708</v>
      </c>
      <c r="X49" s="15">
        <f>SUM(Q49:W49)</f>
        <v>10017</v>
      </c>
    </row>
    <row r="50" spans="1:24" ht="12.75">
      <c r="A50" t="s">
        <v>18</v>
      </c>
      <c r="B50" s="11">
        <f>SUM(B37:B49)</f>
        <v>13834</v>
      </c>
      <c r="C50" s="11">
        <f>SUM(C37:C49)</f>
        <v>558621.5</v>
      </c>
      <c r="D50" s="11">
        <f>SUM(D37:D49)</f>
        <v>558621.5</v>
      </c>
      <c r="E50" s="12">
        <f t="shared" si="28"/>
        <v>112.300852577131</v>
      </c>
      <c r="F50" s="22">
        <f t="shared" si="29"/>
        <v>40.38033106838225</v>
      </c>
      <c r="G50" s="11">
        <f>SUM(G37:G49)</f>
        <v>410</v>
      </c>
      <c r="H50" s="11">
        <f>SUM(H37:H49)</f>
        <v>694.4444444444443</v>
      </c>
      <c r="I50" s="11">
        <f>SUM(I37:I49)</f>
        <v>13139.555555555555</v>
      </c>
      <c r="J50" s="22">
        <f t="shared" si="21"/>
        <v>5.019838401362183</v>
      </c>
      <c r="K50" s="22">
        <f>M50/H50</f>
        <v>32.97640208260203</v>
      </c>
      <c r="L50" s="65">
        <f>N50/I50</f>
        <v>40.77163938391063</v>
      </c>
      <c r="M50" s="11">
        <f>SUM(M37:M49)</f>
        <v>22900.279224029186</v>
      </c>
      <c r="N50" s="11">
        <f>SUM(N37:N49)</f>
        <v>535721.2207759706</v>
      </c>
      <c r="O50" s="65">
        <f t="shared" si="26"/>
        <v>55.854339570802885</v>
      </c>
      <c r="P50" t="s">
        <v>6</v>
      </c>
      <c r="Q50" s="6">
        <f aca="true" t="shared" si="40" ref="Q50:X50">100*Q49/$X49</f>
        <v>23.033404188489325</v>
      </c>
      <c r="R50" s="6">
        <f t="shared" si="40"/>
        <v>14.408505540581015</v>
      </c>
      <c r="S50" s="6">
        <f t="shared" si="40"/>
        <v>13.167517659004085</v>
      </c>
      <c r="T50" s="6">
        <f t="shared" si="40"/>
        <v>11.0018091196186</v>
      </c>
      <c r="U50" s="6">
        <f t="shared" si="40"/>
        <v>15.841898041621924</v>
      </c>
      <c r="V50" s="6">
        <f t="shared" si="40"/>
        <v>16.460139713706212</v>
      </c>
      <c r="W50" s="6">
        <f t="shared" si="40"/>
        <v>6.086725736978844</v>
      </c>
      <c r="X50" s="6">
        <f t="shared" si="40"/>
        <v>100</v>
      </c>
    </row>
    <row r="51" spans="2:24" ht="12.75">
      <c r="B51" s="11"/>
      <c r="C51" s="11"/>
      <c r="D51" s="11"/>
      <c r="E51" s="12"/>
      <c r="F51" s="22"/>
      <c r="G51" s="11"/>
      <c r="H51" s="11"/>
      <c r="I51" s="11"/>
      <c r="J51" s="22"/>
      <c r="K51" s="22"/>
      <c r="L51" s="65"/>
      <c r="M51" s="11"/>
      <c r="N51" s="11"/>
      <c r="O51" s="65"/>
      <c r="Q51" s="6"/>
      <c r="R51" s="6"/>
      <c r="S51" s="6"/>
      <c r="T51" s="6"/>
      <c r="U51" s="6"/>
      <c r="V51" s="6"/>
      <c r="W51" s="6"/>
      <c r="X51" s="6"/>
    </row>
    <row r="52" spans="2:24" ht="12.75">
      <c r="B52" s="11"/>
      <c r="C52" s="11"/>
      <c r="D52" s="11"/>
      <c r="E52" s="12"/>
      <c r="F52" s="22"/>
      <c r="G52" s="11"/>
      <c r="H52" s="11"/>
      <c r="I52" s="11"/>
      <c r="J52" s="22"/>
      <c r="K52" s="22"/>
      <c r="L52" s="65"/>
      <c r="M52" s="11"/>
      <c r="N52" s="11"/>
      <c r="O52" s="65"/>
      <c r="Q52" s="6"/>
      <c r="R52" s="6"/>
      <c r="S52" s="6"/>
      <c r="T52" s="6"/>
      <c r="U52" s="6"/>
      <c r="V52" s="6"/>
      <c r="W52" s="6"/>
      <c r="X52" s="6"/>
    </row>
    <row r="53" spans="2:24" ht="12.75">
      <c r="B53" s="11"/>
      <c r="C53" s="11"/>
      <c r="D53" s="11"/>
      <c r="E53" s="12"/>
      <c r="F53" s="22"/>
      <c r="G53" s="11"/>
      <c r="H53" s="11"/>
      <c r="I53" s="11"/>
      <c r="J53" s="22"/>
      <c r="K53" s="22"/>
      <c r="L53" s="65"/>
      <c r="M53" s="11"/>
      <c r="N53" s="11"/>
      <c r="O53" s="65"/>
      <c r="Q53" s="6"/>
      <c r="R53" s="6"/>
      <c r="S53" s="6"/>
      <c r="T53" s="6"/>
      <c r="U53" s="6"/>
      <c r="V53" s="6"/>
      <c r="W53" s="6"/>
      <c r="X53" s="6"/>
    </row>
    <row r="54" spans="2:24" ht="12.75">
      <c r="B54" s="11"/>
      <c r="C54" s="11"/>
      <c r="D54" s="11"/>
      <c r="E54" s="12"/>
      <c r="F54" s="22"/>
      <c r="G54" s="11"/>
      <c r="H54" s="11"/>
      <c r="I54" s="11"/>
      <c r="J54" s="22"/>
      <c r="K54" s="22"/>
      <c r="L54" s="65"/>
      <c r="M54" s="11"/>
      <c r="N54" s="11"/>
      <c r="O54" s="65"/>
      <c r="Q54" s="6"/>
      <c r="R54" s="6"/>
      <c r="S54" s="6"/>
      <c r="T54" s="6"/>
      <c r="U54" s="6"/>
      <c r="V54" s="6"/>
      <c r="W54" s="6"/>
      <c r="X54" s="6"/>
    </row>
    <row r="55" spans="2:15" ht="12.75">
      <c r="B55" s="21"/>
      <c r="C55" s="21"/>
      <c r="D55" s="21"/>
      <c r="E55" s="21"/>
      <c r="F55" s="21"/>
      <c r="K55" s="69" t="s">
        <v>411</v>
      </c>
      <c r="L55" s="69"/>
      <c r="M55" s="69"/>
      <c r="N55" s="69"/>
      <c r="O55" s="69"/>
    </row>
    <row r="56" spans="1:23" ht="12.75">
      <c r="A56" s="64">
        <v>1837</v>
      </c>
      <c r="B56" t="s">
        <v>383</v>
      </c>
      <c r="C56" t="s">
        <v>470</v>
      </c>
      <c r="D56" t="s">
        <v>420</v>
      </c>
      <c r="E56" t="s">
        <v>6</v>
      </c>
      <c r="F56" t="s">
        <v>398</v>
      </c>
      <c r="G56" t="s">
        <v>421</v>
      </c>
      <c r="H56" t="s">
        <v>473</v>
      </c>
      <c r="I56" t="s">
        <v>422</v>
      </c>
      <c r="J56" t="s">
        <v>423</v>
      </c>
      <c r="K56" t="s">
        <v>425</v>
      </c>
      <c r="L56" t="s">
        <v>426</v>
      </c>
      <c r="M56" t="s">
        <v>427</v>
      </c>
      <c r="N56" t="s">
        <v>428</v>
      </c>
      <c r="O56" t="s">
        <v>425</v>
      </c>
      <c r="Q56" t="s">
        <v>364</v>
      </c>
      <c r="R56" t="s">
        <v>365</v>
      </c>
      <c r="S56" t="s">
        <v>366</v>
      </c>
      <c r="T56" t="s">
        <v>367</v>
      </c>
      <c r="U56" t="s">
        <v>368</v>
      </c>
      <c r="V56" t="s">
        <v>369</v>
      </c>
      <c r="W56" t="s">
        <v>0</v>
      </c>
    </row>
    <row r="57" spans="1:24" ht="12.75">
      <c r="A57" t="s">
        <v>384</v>
      </c>
      <c r="B57" s="11">
        <v>1767</v>
      </c>
      <c r="C57" s="11">
        <v>94428</v>
      </c>
      <c r="D57" s="11">
        <f>C57</f>
        <v>94428</v>
      </c>
      <c r="E57" s="12">
        <f>100*D57/D$30</f>
        <v>18.983059025034528</v>
      </c>
      <c r="F57" s="22">
        <f>D57/B57</f>
        <v>53.439728353140914</v>
      </c>
      <c r="G57" s="13">
        <v>11</v>
      </c>
      <c r="H57" s="10">
        <f>G57/0.6418</f>
        <v>17.139295730757244</v>
      </c>
      <c r="I57" s="11">
        <f aca="true" t="shared" si="41" ref="I57:I69">B57-H57</f>
        <v>1749.8607042692427</v>
      </c>
      <c r="J57" s="22">
        <f aca="true" t="shared" si="42" ref="J57:J70">100*H57/B57</f>
        <v>0.969965802532951</v>
      </c>
      <c r="K57" s="22">
        <f aca="true" t="shared" si="43" ref="K57:K69">F57</f>
        <v>53.439728353140914</v>
      </c>
      <c r="L57" s="22">
        <f aca="true" t="shared" si="44" ref="L57:L69">F57</f>
        <v>53.439728353140914</v>
      </c>
      <c r="M57" s="11">
        <f aca="true" t="shared" si="45" ref="M57:M69">H57*K57</f>
        <v>915.9193080158149</v>
      </c>
      <c r="N57" s="11">
        <f aca="true" t="shared" si="46" ref="N57:N69">I57*L57</f>
        <v>93512.08069198417</v>
      </c>
      <c r="O57" s="65">
        <f aca="true" t="shared" si="47" ref="O57:O70">K57*H57/G57</f>
        <v>83.26539163780136</v>
      </c>
      <c r="P57" t="s">
        <v>436</v>
      </c>
      <c r="Q57" s="15">
        <f>$M57+$M58</f>
        <v>2183.2981539421285</v>
      </c>
      <c r="R57" s="15">
        <f>$M59+$M60</f>
        <v>5028.548635732315</v>
      </c>
      <c r="S57" s="15">
        <f>$M61+$M62</f>
        <v>5225.415434000313</v>
      </c>
      <c r="T57" s="15">
        <f>$M63+$M64</f>
        <v>4056.4143719757076</v>
      </c>
      <c r="U57" s="15">
        <f>$M65+$M66</f>
        <v>3183.949804376848</v>
      </c>
      <c r="V57" s="15">
        <f>$M67+$M68</f>
        <v>1434.7706429971659</v>
      </c>
      <c r="W57" s="15">
        <f>$M69</f>
        <v>448.34996963118834</v>
      </c>
      <c r="X57" s="15">
        <f>SUM(Q57:W57)</f>
        <v>21560.747012655665</v>
      </c>
    </row>
    <row r="58" spans="1:24" ht="12.75">
      <c r="A58" t="s">
        <v>385</v>
      </c>
      <c r="B58" s="11">
        <v>1496</v>
      </c>
      <c r="C58" s="11">
        <v>93604</v>
      </c>
      <c r="D58" s="11">
        <f>C58</f>
        <v>93604</v>
      </c>
      <c r="E58" s="12">
        <f aca="true" t="shared" si="48" ref="E58:E70">100*D58/D$30</f>
        <v>18.81740857562727</v>
      </c>
      <c r="F58" s="22">
        <f aca="true" t="shared" si="49" ref="F58:F70">D58/B58</f>
        <v>62.56951871657754</v>
      </c>
      <c r="G58" s="13">
        <v>13</v>
      </c>
      <c r="H58" s="10">
        <f aca="true" t="shared" si="50" ref="H58:H69">G58/0.6418</f>
        <v>20.25553131816765</v>
      </c>
      <c r="I58" s="11">
        <f t="shared" si="41"/>
        <v>1475.7444686818324</v>
      </c>
      <c r="J58" s="22">
        <f t="shared" si="42"/>
        <v>1.3539793661876773</v>
      </c>
      <c r="K58" s="22">
        <f t="shared" si="43"/>
        <v>62.56951871657754</v>
      </c>
      <c r="L58" s="22">
        <f t="shared" si="44"/>
        <v>62.56951871657754</v>
      </c>
      <c r="M58" s="11">
        <f t="shared" si="45"/>
        <v>1267.3788459263135</v>
      </c>
      <c r="N58" s="11">
        <f t="shared" si="46"/>
        <v>92336.62115407368</v>
      </c>
      <c r="O58" s="65">
        <f t="shared" si="47"/>
        <v>97.49068045587026</v>
      </c>
      <c r="P58" t="s">
        <v>428</v>
      </c>
      <c r="Q58" s="15">
        <f>$N57+$N58</f>
        <v>185848.70184605784</v>
      </c>
      <c r="R58" s="15">
        <f>$N59+$N60</f>
        <v>175358.45136426768</v>
      </c>
      <c r="S58" s="15">
        <f>$N61+$N62</f>
        <v>107149.58456599968</v>
      </c>
      <c r="T58" s="15">
        <f>$N63+$N64</f>
        <v>64932.58562802429</v>
      </c>
      <c r="U58" s="15">
        <f>$N65+$N66</f>
        <v>41074.050195623146</v>
      </c>
      <c r="V58" s="15">
        <f>$N67+$N68</f>
        <v>19458.229357002834</v>
      </c>
      <c r="W58" s="15">
        <f>$N69</f>
        <v>4427.650030368812</v>
      </c>
      <c r="X58" s="15">
        <f>SUM(Q58:W58)</f>
        <v>598249.2529873444</v>
      </c>
    </row>
    <row r="59" spans="1:23" ht="12.75">
      <c r="A59" t="s">
        <v>386</v>
      </c>
      <c r="B59" s="11">
        <v>1156</v>
      </c>
      <c r="C59" s="11">
        <v>180387</v>
      </c>
      <c r="D59" s="11">
        <f>C59*C$179/(C$179+C$180)</f>
        <v>93387.2292587585</v>
      </c>
      <c r="E59" s="12">
        <f t="shared" si="48"/>
        <v>18.773830698558097</v>
      </c>
      <c r="F59" s="22">
        <f t="shared" si="49"/>
        <v>80.78480039684992</v>
      </c>
      <c r="G59" s="13">
        <v>17</v>
      </c>
      <c r="H59" s="10">
        <f t="shared" si="50"/>
        <v>26.488002492988468</v>
      </c>
      <c r="I59" s="11">
        <f t="shared" si="41"/>
        <v>1129.5119975070115</v>
      </c>
      <c r="J59" s="22">
        <f t="shared" si="42"/>
        <v>2.2913496966253</v>
      </c>
      <c r="K59" s="22">
        <f t="shared" si="43"/>
        <v>80.78480039684992</v>
      </c>
      <c r="L59" s="22">
        <f t="shared" si="44"/>
        <v>80.78480039684992</v>
      </c>
      <c r="M59" s="11">
        <f t="shared" si="45"/>
        <v>2139.827994307336</v>
      </c>
      <c r="N59" s="11">
        <f t="shared" si="46"/>
        <v>91247.40126445117</v>
      </c>
      <c r="O59" s="65">
        <f t="shared" si="47"/>
        <v>125.87223495925507</v>
      </c>
      <c r="P59" t="s">
        <v>437</v>
      </c>
      <c r="Q59" s="3">
        <f aca="true" t="shared" si="51" ref="Q59:W59">Q57/(Q57+Q58)</f>
        <v>0.011611311659409722</v>
      </c>
      <c r="R59" s="3">
        <f t="shared" si="51"/>
        <v>0.027876446948684304</v>
      </c>
      <c r="S59" s="3">
        <f t="shared" si="51"/>
        <v>0.04649980363960234</v>
      </c>
      <c r="T59" s="3">
        <f t="shared" si="51"/>
        <v>0.05879798767884312</v>
      </c>
      <c r="U59" s="3">
        <f t="shared" si="51"/>
        <v>0.07194066167420238</v>
      </c>
      <c r="V59" s="3">
        <f t="shared" si="51"/>
        <v>0.06867231335840548</v>
      </c>
      <c r="W59" s="3">
        <f t="shared" si="51"/>
        <v>0.09195036292682288</v>
      </c>
    </row>
    <row r="60" spans="1:24" ht="12.75">
      <c r="A60" t="s">
        <v>387</v>
      </c>
      <c r="B60" s="11">
        <v>1267</v>
      </c>
      <c r="C60" s="11"/>
      <c r="D60" s="11">
        <f>C59*C$180/(C$179+C$180)</f>
        <v>86999.7707412415</v>
      </c>
      <c r="E60" s="12">
        <f t="shared" si="48"/>
        <v>17.489746506814285</v>
      </c>
      <c r="F60" s="22">
        <f t="shared" si="49"/>
        <v>68.6659595432056</v>
      </c>
      <c r="G60" s="13">
        <v>27</v>
      </c>
      <c r="H60" s="10">
        <f t="shared" si="50"/>
        <v>42.06918043004051</v>
      </c>
      <c r="I60" s="11">
        <f t="shared" si="41"/>
        <v>1224.9308195699596</v>
      </c>
      <c r="J60" s="22">
        <f t="shared" si="42"/>
        <v>3.320377303081335</v>
      </c>
      <c r="K60" s="22">
        <f t="shared" si="43"/>
        <v>68.6659595432056</v>
      </c>
      <c r="L60" s="22">
        <f t="shared" si="44"/>
        <v>68.6659595432056</v>
      </c>
      <c r="M60" s="11">
        <f t="shared" si="45"/>
        <v>2888.7206414249786</v>
      </c>
      <c r="N60" s="11">
        <f t="shared" si="46"/>
        <v>84111.05009981652</v>
      </c>
      <c r="O60" s="65">
        <f t="shared" si="47"/>
        <v>106.98965338611032</v>
      </c>
      <c r="P60" t="s">
        <v>438</v>
      </c>
      <c r="Q60" s="15">
        <f>Q57+Q58</f>
        <v>188031.99999999997</v>
      </c>
      <c r="R60" s="15">
        <f aca="true" t="shared" si="52" ref="R60:W60">R57+R58</f>
        <v>180387</v>
      </c>
      <c r="S60" s="15">
        <f t="shared" si="52"/>
        <v>112375</v>
      </c>
      <c r="T60" s="15">
        <f t="shared" si="52"/>
        <v>68989</v>
      </c>
      <c r="U60" s="15">
        <f t="shared" si="52"/>
        <v>44257.99999999999</v>
      </c>
      <c r="V60" s="15">
        <f t="shared" si="52"/>
        <v>20893</v>
      </c>
      <c r="W60" s="15">
        <f t="shared" si="52"/>
        <v>4876</v>
      </c>
      <c r="X60" s="15">
        <f>SUM(Q60:W60)</f>
        <v>619810</v>
      </c>
    </row>
    <row r="61" spans="1:23" ht="12.75">
      <c r="A61" t="s">
        <v>388</v>
      </c>
      <c r="B61" s="11">
        <v>1124</v>
      </c>
      <c r="C61" s="11">
        <v>112375</v>
      </c>
      <c r="D61" s="11">
        <f>C61*C$181/(C$181+C$182)</f>
        <v>62676.76137930679</v>
      </c>
      <c r="E61" s="12">
        <f t="shared" si="48"/>
        <v>12.600040885768895</v>
      </c>
      <c r="F61" s="22">
        <f t="shared" si="49"/>
        <v>55.762243220023834</v>
      </c>
      <c r="G61" s="13">
        <v>35</v>
      </c>
      <c r="H61" s="10">
        <f t="shared" si="50"/>
        <v>54.53412277968214</v>
      </c>
      <c r="I61" s="11">
        <f t="shared" si="41"/>
        <v>1069.465877220318</v>
      </c>
      <c r="J61" s="22">
        <f t="shared" si="42"/>
        <v>4.85179028288987</v>
      </c>
      <c r="K61" s="22">
        <f t="shared" si="43"/>
        <v>55.762243220023834</v>
      </c>
      <c r="L61" s="22">
        <f t="shared" si="44"/>
        <v>55.762243220023834</v>
      </c>
      <c r="M61" s="11">
        <f t="shared" si="45"/>
        <v>3040.945018231278</v>
      </c>
      <c r="N61" s="11">
        <f t="shared" si="46"/>
        <v>59635.816361075515</v>
      </c>
      <c r="O61" s="65">
        <f t="shared" si="47"/>
        <v>86.88414337803651</v>
      </c>
      <c r="P61" t="s">
        <v>6</v>
      </c>
      <c r="Q61" s="6">
        <f aca="true" t="shared" si="53" ref="Q61:W61">100*Q60/$X60</f>
        <v>30.33703876994562</v>
      </c>
      <c r="R61" s="6">
        <f t="shared" si="53"/>
        <v>29.103596263371035</v>
      </c>
      <c r="S61" s="6">
        <f t="shared" si="53"/>
        <v>18.130556138171375</v>
      </c>
      <c r="T61" s="6">
        <f t="shared" si="53"/>
        <v>11.130669076007164</v>
      </c>
      <c r="U61" s="6">
        <f t="shared" si="53"/>
        <v>7.140575337603457</v>
      </c>
      <c r="V61" s="6">
        <f t="shared" si="53"/>
        <v>3.370871718752521</v>
      </c>
      <c r="W61" s="6">
        <f t="shared" si="53"/>
        <v>0.7866926961488198</v>
      </c>
    </row>
    <row r="62" spans="1:24" ht="12.75">
      <c r="A62" t="s">
        <v>389</v>
      </c>
      <c r="B62" s="11">
        <v>1028</v>
      </c>
      <c r="C62" s="11"/>
      <c r="D62" s="11">
        <f>C61*C$182/(C$181+C$182)</f>
        <v>49698.23862069321</v>
      </c>
      <c r="E62" s="12">
        <f t="shared" si="48"/>
        <v>9.99094121634335</v>
      </c>
      <c r="F62" s="22">
        <f t="shared" si="49"/>
        <v>48.344590097950594</v>
      </c>
      <c r="G62" s="13">
        <v>29</v>
      </c>
      <c r="H62" s="10">
        <f t="shared" si="50"/>
        <v>45.18541601745092</v>
      </c>
      <c r="I62" s="11">
        <f t="shared" si="41"/>
        <v>982.814583982549</v>
      </c>
      <c r="J62" s="22">
        <f t="shared" si="42"/>
        <v>4.395468484187832</v>
      </c>
      <c r="K62" s="22">
        <f t="shared" si="43"/>
        <v>48.344590097950594</v>
      </c>
      <c r="L62" s="22">
        <f t="shared" si="44"/>
        <v>48.344590097950594</v>
      </c>
      <c r="M62" s="11">
        <f t="shared" si="45"/>
        <v>2184.4704157690358</v>
      </c>
      <c r="N62" s="11">
        <f t="shared" si="46"/>
        <v>47513.76820492417</v>
      </c>
      <c r="O62" s="65">
        <f t="shared" si="47"/>
        <v>75.32656606100123</v>
      </c>
      <c r="P62" t="s">
        <v>460</v>
      </c>
      <c r="Q62" s="15">
        <f>Q58*Q64/100</f>
        <v>10601.3810679856</v>
      </c>
      <c r="R62" s="15">
        <f aca="true" t="shared" si="54" ref="R62:W62">R58*R64/100</f>
        <v>25124.3080531767</v>
      </c>
      <c r="S62" s="15">
        <f t="shared" si="54"/>
        <v>25617.493457526532</v>
      </c>
      <c r="T62" s="15">
        <f t="shared" si="54"/>
        <v>19973.71831933026</v>
      </c>
      <c r="U62" s="15">
        <f t="shared" si="54"/>
        <v>16329.174672108391</v>
      </c>
      <c r="V62" s="15">
        <f t="shared" si="54"/>
        <v>7144.598186044318</v>
      </c>
      <c r="W62" s="15">
        <f t="shared" si="54"/>
        <v>2206.0722733815364</v>
      </c>
      <c r="X62" s="15">
        <f>SUM(Q62:W62)</f>
        <v>106996.74602955334</v>
      </c>
    </row>
    <row r="63" spans="1:24" ht="12.75">
      <c r="A63" t="s">
        <v>390</v>
      </c>
      <c r="B63" s="11">
        <v>1014</v>
      </c>
      <c r="C63" s="11">
        <v>68989</v>
      </c>
      <c r="D63" s="11">
        <f>C63*(C$183/(C$183+C$184)-0.04)</f>
        <v>35870.20549228244</v>
      </c>
      <c r="E63" s="12">
        <f t="shared" si="48"/>
        <v>7.211062694329174</v>
      </c>
      <c r="F63" s="22">
        <f t="shared" si="49"/>
        <v>35.374956106787415</v>
      </c>
      <c r="G63" s="13">
        <v>38</v>
      </c>
      <c r="H63" s="10">
        <f t="shared" si="50"/>
        <v>59.20847616079775</v>
      </c>
      <c r="I63" s="11">
        <f t="shared" si="41"/>
        <v>954.7915238392022</v>
      </c>
      <c r="J63" s="22">
        <f t="shared" si="42"/>
        <v>5.839100213096425</v>
      </c>
      <c r="K63" s="22">
        <f t="shared" si="43"/>
        <v>35.374956106787415</v>
      </c>
      <c r="L63" s="22">
        <f t="shared" si="44"/>
        <v>35.374956106787415</v>
      </c>
      <c r="M63" s="11">
        <f t="shared" si="45"/>
        <v>2094.4972453379896</v>
      </c>
      <c r="N63" s="11">
        <f t="shared" si="46"/>
        <v>33775.70824694445</v>
      </c>
      <c r="O63" s="65">
        <f t="shared" si="47"/>
        <v>55.11834856152604</v>
      </c>
      <c r="P63" t="s">
        <v>405</v>
      </c>
      <c r="Q63" s="15">
        <f aca="true" t="shared" si="55" ref="Q63:W63">Q58-Q62</f>
        <v>175247.32077807223</v>
      </c>
      <c r="R63" s="15">
        <f t="shared" si="55"/>
        <v>150234.14331109097</v>
      </c>
      <c r="S63" s="15">
        <f t="shared" si="55"/>
        <v>81532.09110847315</v>
      </c>
      <c r="T63" s="15">
        <f t="shared" si="55"/>
        <v>44958.867308694025</v>
      </c>
      <c r="U63" s="15">
        <f t="shared" si="55"/>
        <v>24744.875523514755</v>
      </c>
      <c r="V63" s="15">
        <f t="shared" si="55"/>
        <v>12313.631170958517</v>
      </c>
      <c r="W63" s="15">
        <f t="shared" si="55"/>
        <v>2221.5777569872753</v>
      </c>
      <c r="X63" s="15">
        <f>SUM(Q63:W63)</f>
        <v>491252.506957791</v>
      </c>
    </row>
    <row r="64" spans="1:24" ht="12.75">
      <c r="A64" t="s">
        <v>391</v>
      </c>
      <c r="B64" s="11">
        <v>1131</v>
      </c>
      <c r="C64" s="11"/>
      <c r="D64" s="11">
        <f>C63*(C$184/(C$183+C$184)+0.04)</f>
        <v>33118.794507717554</v>
      </c>
      <c r="E64" s="12">
        <f t="shared" si="48"/>
        <v>6.657940769453887</v>
      </c>
      <c r="F64" s="22">
        <f t="shared" si="49"/>
        <v>29.282753764560173</v>
      </c>
      <c r="G64" s="13">
        <v>43</v>
      </c>
      <c r="H64" s="10">
        <f t="shared" si="50"/>
        <v>66.99906512932377</v>
      </c>
      <c r="I64" s="11">
        <f t="shared" si="41"/>
        <v>1064.0009348706762</v>
      </c>
      <c r="J64" s="22">
        <f t="shared" si="42"/>
        <v>5.9238784376059925</v>
      </c>
      <c r="K64" s="22">
        <f t="shared" si="43"/>
        <v>29.282753764560173</v>
      </c>
      <c r="L64" s="22">
        <f t="shared" si="44"/>
        <v>29.282753764560173</v>
      </c>
      <c r="M64" s="11">
        <f t="shared" si="45"/>
        <v>1961.9171266377177</v>
      </c>
      <c r="N64" s="11">
        <f t="shared" si="46"/>
        <v>31156.877381079838</v>
      </c>
      <c r="O64" s="65">
        <f t="shared" si="47"/>
        <v>45.62597968924925</v>
      </c>
      <c r="P64" t="s">
        <v>461</v>
      </c>
      <c r="Q64" s="6">
        <f>100*Q67/(Q67+Q69)</f>
        <v>5.704307300874737</v>
      </c>
      <c r="R64" s="6">
        <f aca="true" t="shared" si="56" ref="R64:X64">100*R67/(R67+R69)</f>
        <v>14.327400737011876</v>
      </c>
      <c r="S64" s="6">
        <f t="shared" si="56"/>
        <v>23.908159384180554</v>
      </c>
      <c r="T64" s="6">
        <f t="shared" si="56"/>
        <v>30.760700696184493</v>
      </c>
      <c r="U64" s="6">
        <f t="shared" si="56"/>
        <v>39.75545288165526</v>
      </c>
      <c r="V64" s="6">
        <f t="shared" si="56"/>
        <v>36.71761728655462</v>
      </c>
      <c r="W64" s="6">
        <f t="shared" si="56"/>
        <v>49.82490165777119</v>
      </c>
      <c r="X64" s="6">
        <f t="shared" si="56"/>
        <v>25.993486795976022</v>
      </c>
    </row>
    <row r="65" spans="1:24" ht="12.75">
      <c r="A65" t="s">
        <v>392</v>
      </c>
      <c r="B65" s="11">
        <v>1243</v>
      </c>
      <c r="C65" s="11">
        <v>44258</v>
      </c>
      <c r="D65" s="11">
        <f>C65*C$185/(C$185+C$186)</f>
        <v>26254.950225042634</v>
      </c>
      <c r="E65" s="12">
        <f t="shared" si="48"/>
        <v>5.278087747504213</v>
      </c>
      <c r="F65" s="22">
        <f t="shared" si="49"/>
        <v>21.122244750637677</v>
      </c>
      <c r="G65" s="13">
        <v>50</v>
      </c>
      <c r="H65" s="10">
        <f t="shared" si="50"/>
        <v>77.9058896852602</v>
      </c>
      <c r="I65" s="11">
        <f t="shared" si="41"/>
        <v>1165.0941103147397</v>
      </c>
      <c r="J65" s="22">
        <f t="shared" si="42"/>
        <v>6.267569564381352</v>
      </c>
      <c r="K65" s="22">
        <f t="shared" si="43"/>
        <v>21.122244750637677</v>
      </c>
      <c r="L65" s="22">
        <f t="shared" si="44"/>
        <v>21.122244750637677</v>
      </c>
      <c r="M65" s="11">
        <f t="shared" si="45"/>
        <v>1645.5472694482453</v>
      </c>
      <c r="N65" s="11">
        <f t="shared" si="46"/>
        <v>24609.402955594385</v>
      </c>
      <c r="O65" s="65">
        <f t="shared" si="47"/>
        <v>32.910945388964905</v>
      </c>
      <c r="P65" t="s">
        <v>463</v>
      </c>
      <c r="Q65" s="4">
        <f>H57+H58</f>
        <v>37.394827048924896</v>
      </c>
      <c r="R65" s="4">
        <f>H59+H60</f>
        <v>68.55718292302898</v>
      </c>
      <c r="S65" s="4">
        <f>H61+H62</f>
        <v>99.71953879713305</v>
      </c>
      <c r="T65" s="4">
        <f>H63+H64</f>
        <v>126.20754129012153</v>
      </c>
      <c r="U65" s="4">
        <f>H65+H66</f>
        <v>197.8809598005609</v>
      </c>
      <c r="V65" s="4">
        <f>H67+H68</f>
        <v>188.53225303832969</v>
      </c>
      <c r="W65" s="4">
        <f>H69</f>
        <v>113.7425989404799</v>
      </c>
      <c r="X65" s="15">
        <f>SUM(Q65:W65)</f>
        <v>832.034901838579</v>
      </c>
    </row>
    <row r="66" spans="1:24" ht="12.75">
      <c r="A66" t="s">
        <v>393</v>
      </c>
      <c r="B66" s="11">
        <v>1404</v>
      </c>
      <c r="C66" s="11"/>
      <c r="D66" s="11">
        <f>C65*C$186/(C$185+C$186)</f>
        <v>18003.049774957366</v>
      </c>
      <c r="E66" s="12">
        <f t="shared" si="48"/>
        <v>3.619190880974396</v>
      </c>
      <c r="F66" s="22">
        <f t="shared" si="49"/>
        <v>12.822685024898409</v>
      </c>
      <c r="G66" s="13">
        <v>77</v>
      </c>
      <c r="H66" s="10">
        <f t="shared" si="50"/>
        <v>119.97507011530071</v>
      </c>
      <c r="I66" s="11">
        <f t="shared" si="41"/>
        <v>1284.0249298846993</v>
      </c>
      <c r="J66" s="22">
        <f t="shared" si="42"/>
        <v>8.545232914195207</v>
      </c>
      <c r="K66" s="22">
        <f t="shared" si="43"/>
        <v>12.822685024898409</v>
      </c>
      <c r="L66" s="22">
        <f t="shared" si="44"/>
        <v>12.822685024898409</v>
      </c>
      <c r="M66" s="11">
        <f t="shared" si="45"/>
        <v>1538.402534928603</v>
      </c>
      <c r="N66" s="11">
        <f t="shared" si="46"/>
        <v>16464.647240028764</v>
      </c>
      <c r="O66" s="65">
        <f t="shared" si="47"/>
        <v>19.97925370037147</v>
      </c>
      <c r="P66" t="s">
        <v>6</v>
      </c>
      <c r="Q66" s="6">
        <f aca="true" t="shared" si="57" ref="Q66:X66">100*Q65/$X65</f>
        <v>4.4943820224719095</v>
      </c>
      <c r="R66" s="6">
        <f t="shared" si="57"/>
        <v>8.239700374531834</v>
      </c>
      <c r="S66" s="6">
        <f t="shared" si="57"/>
        <v>11.985018726591761</v>
      </c>
      <c r="T66" s="6">
        <f t="shared" si="57"/>
        <v>15.168539325842694</v>
      </c>
      <c r="U66" s="6">
        <f t="shared" si="57"/>
        <v>23.78277153558052</v>
      </c>
      <c r="V66" s="6">
        <f t="shared" si="57"/>
        <v>22.659176029962545</v>
      </c>
      <c r="W66" s="6">
        <f t="shared" si="57"/>
        <v>13.670411985018726</v>
      </c>
      <c r="X66" s="6">
        <f t="shared" si="57"/>
        <v>100</v>
      </c>
    </row>
    <row r="67" spans="1:24" ht="12.75">
      <c r="A67" t="s">
        <v>394</v>
      </c>
      <c r="B67" s="11">
        <v>1477</v>
      </c>
      <c r="C67" s="11">
        <v>20893</v>
      </c>
      <c r="D67" s="11">
        <f>C67*C$187/(C$187+C$188)</f>
        <v>13822.671844490935</v>
      </c>
      <c r="E67" s="12">
        <f t="shared" si="48"/>
        <v>2.778800731855533</v>
      </c>
      <c r="F67" s="22">
        <f t="shared" si="49"/>
        <v>9.35861330026468</v>
      </c>
      <c r="G67" s="13">
        <v>63</v>
      </c>
      <c r="H67" s="10">
        <f t="shared" si="50"/>
        <v>98.16142100342785</v>
      </c>
      <c r="I67" s="11">
        <f t="shared" si="41"/>
        <v>1378.838578996572</v>
      </c>
      <c r="J67" s="22">
        <f t="shared" si="42"/>
        <v>6.646000067936888</v>
      </c>
      <c r="K67" s="22">
        <f t="shared" si="43"/>
        <v>9.35861330026468</v>
      </c>
      <c r="L67" s="22">
        <f t="shared" si="44"/>
        <v>9.35861330026468</v>
      </c>
      <c r="M67" s="11">
        <f t="shared" si="45"/>
        <v>918.6547801755606</v>
      </c>
      <c r="N67" s="11">
        <f t="shared" si="46"/>
        <v>12904.017064315372</v>
      </c>
      <c r="O67" s="65">
        <f t="shared" si="47"/>
        <v>14.581821907548582</v>
      </c>
      <c r="P67" t="s">
        <v>464</v>
      </c>
      <c r="Q67" s="4">
        <f aca="true" t="shared" si="58" ref="Q67:W67">Q68*$X67/100</f>
        <v>183.99843137804135</v>
      </c>
      <c r="R67" s="4">
        <f t="shared" si="58"/>
        <v>337.33045752640913</v>
      </c>
      <c r="S67" s="4">
        <f t="shared" si="58"/>
        <v>490.6624836747771</v>
      </c>
      <c r="T67" s="4">
        <f t="shared" si="58"/>
        <v>620.9947059008896</v>
      </c>
      <c r="U67" s="4">
        <f t="shared" si="58"/>
        <v>973.6583660421354</v>
      </c>
      <c r="V67" s="4">
        <f t="shared" si="58"/>
        <v>927.6587581976253</v>
      </c>
      <c r="W67" s="4">
        <f t="shared" si="58"/>
        <v>559.6618954415425</v>
      </c>
      <c r="X67" s="15">
        <f>'Res1807-1913'!E58-EstateMultiplier18171902!X65</f>
        <v>4093.965098161421</v>
      </c>
    </row>
    <row r="68" spans="1:24" ht="12.75">
      <c r="A68" t="s">
        <v>395</v>
      </c>
      <c r="B68" s="11">
        <v>1238</v>
      </c>
      <c r="C68" s="11"/>
      <c r="D68" s="11">
        <f>C67*C$188/(C$187+C$188)</f>
        <v>7070.328155509065</v>
      </c>
      <c r="E68" s="12">
        <f t="shared" si="48"/>
        <v>1.4213629082728862</v>
      </c>
      <c r="F68" s="22">
        <f t="shared" si="49"/>
        <v>5.71108897860183</v>
      </c>
      <c r="G68" s="13">
        <v>58</v>
      </c>
      <c r="H68" s="10">
        <f t="shared" si="50"/>
        <v>90.37083203490184</v>
      </c>
      <c r="I68" s="11">
        <f t="shared" si="41"/>
        <v>1147.629167965098</v>
      </c>
      <c r="J68" s="22">
        <f t="shared" si="42"/>
        <v>7.299744106211779</v>
      </c>
      <c r="K68" s="22">
        <f t="shared" si="43"/>
        <v>5.71108897860183</v>
      </c>
      <c r="L68" s="22">
        <f t="shared" si="44"/>
        <v>5.71108897860183</v>
      </c>
      <c r="M68" s="11">
        <f t="shared" si="45"/>
        <v>516.1158628216051</v>
      </c>
      <c r="N68" s="11">
        <f t="shared" si="46"/>
        <v>6554.21229268746</v>
      </c>
      <c r="O68" s="65">
        <f t="shared" si="47"/>
        <v>8.898549358993192</v>
      </c>
      <c r="P68" t="s">
        <v>6</v>
      </c>
      <c r="Q68" s="6">
        <f>Q66</f>
        <v>4.4943820224719095</v>
      </c>
      <c r="R68" s="6">
        <f aca="true" t="shared" si="59" ref="R68:W68">R66</f>
        <v>8.239700374531834</v>
      </c>
      <c r="S68" s="6">
        <f t="shared" si="59"/>
        <v>11.985018726591761</v>
      </c>
      <c r="T68" s="6">
        <f t="shared" si="59"/>
        <v>15.168539325842694</v>
      </c>
      <c r="U68" s="6">
        <f t="shared" si="59"/>
        <v>23.78277153558052</v>
      </c>
      <c r="V68" s="6">
        <f t="shared" si="59"/>
        <v>22.659176029962545</v>
      </c>
      <c r="W68" s="6">
        <f t="shared" si="59"/>
        <v>13.670411985018726</v>
      </c>
      <c r="X68" s="6">
        <f>100*X67/$X67</f>
        <v>100</v>
      </c>
    </row>
    <row r="69" spans="1:24" ht="12.75">
      <c r="A69" t="s">
        <v>396</v>
      </c>
      <c r="B69" s="11">
        <v>1237</v>
      </c>
      <c r="C69" s="11">
        <v>4876</v>
      </c>
      <c r="D69" s="11">
        <f>C69</f>
        <v>4876</v>
      </c>
      <c r="E69" s="12">
        <f t="shared" si="48"/>
        <v>0.9802325137254665</v>
      </c>
      <c r="F69" s="22">
        <f t="shared" si="49"/>
        <v>3.9417946645109136</v>
      </c>
      <c r="G69" s="13">
        <v>73</v>
      </c>
      <c r="H69" s="10">
        <f t="shared" si="50"/>
        <v>113.7425989404799</v>
      </c>
      <c r="I69" s="11">
        <f t="shared" si="41"/>
        <v>1123.2574010595201</v>
      </c>
      <c r="J69" s="22">
        <f t="shared" si="42"/>
        <v>9.195036292682287</v>
      </c>
      <c r="K69" s="22">
        <f t="shared" si="43"/>
        <v>3.9417946645109136</v>
      </c>
      <c r="L69" s="22">
        <f t="shared" si="44"/>
        <v>3.9417946645109136</v>
      </c>
      <c r="M69" s="11">
        <f t="shared" si="45"/>
        <v>448.34996963118834</v>
      </c>
      <c r="N69" s="11">
        <f t="shared" si="46"/>
        <v>4427.650030368812</v>
      </c>
      <c r="O69" s="65">
        <f t="shared" si="47"/>
        <v>6.141780405906689</v>
      </c>
      <c r="P69" t="s">
        <v>402</v>
      </c>
      <c r="Q69" s="15">
        <f>$B57+$B58-Q65-Q67</f>
        <v>3041.6067415730336</v>
      </c>
      <c r="R69" s="15">
        <f>$B59+$B60-R65-R67</f>
        <v>2017.112359550562</v>
      </c>
      <c r="S69" s="15">
        <f>$B61+$B62-S65-S67</f>
        <v>1561.6179775280896</v>
      </c>
      <c r="T69" s="15">
        <f>$B63+$B64-T65-T67</f>
        <v>1397.797752808989</v>
      </c>
      <c r="U69" s="15">
        <f>$B65+$B66-U65-U67</f>
        <v>1475.4606741573036</v>
      </c>
      <c r="V69" s="15">
        <f>$B67+$B68-V65-V67</f>
        <v>1598.8089887640451</v>
      </c>
      <c r="W69" s="15">
        <f>$B69-W65-W67</f>
        <v>563.5955056179777</v>
      </c>
      <c r="X69" s="15">
        <f>SUM(Q69:W69)</f>
        <v>11656</v>
      </c>
    </row>
    <row r="70" spans="1:24" ht="12.75">
      <c r="A70" t="s">
        <v>18</v>
      </c>
      <c r="B70" s="11">
        <f>SUM(B57:B69)</f>
        <v>16582</v>
      </c>
      <c r="C70" s="11">
        <f>SUM(C57:C69)</f>
        <v>619810</v>
      </c>
      <c r="D70" s="11">
        <f>SUM(D57:D69)</f>
        <v>619810</v>
      </c>
      <c r="E70" s="12">
        <f t="shared" si="48"/>
        <v>124.60170515426198</v>
      </c>
      <c r="F70" s="22">
        <f t="shared" si="49"/>
        <v>37.37848269207574</v>
      </c>
      <c r="G70" s="11">
        <f>SUM(G57:G69)</f>
        <v>534</v>
      </c>
      <c r="H70" s="11">
        <f>SUM(H57:H69)</f>
        <v>832.034901838579</v>
      </c>
      <c r="I70" s="11">
        <f>SUM(I57:I69)</f>
        <v>15749.965098161423</v>
      </c>
      <c r="J70" s="22">
        <f t="shared" si="42"/>
        <v>5.017699323595338</v>
      </c>
      <c r="K70" s="22">
        <f>M70/H70</f>
        <v>25.91327234592211</v>
      </c>
      <c r="L70" s="65">
        <f>N70/I70</f>
        <v>37.98416372726953</v>
      </c>
      <c r="M70" s="11">
        <f>SUM(M57:M69)</f>
        <v>21560.747012655665</v>
      </c>
      <c r="N70" s="11">
        <f>SUM(N57:N69)</f>
        <v>598249.2529873443</v>
      </c>
      <c r="O70" s="65">
        <f t="shared" si="47"/>
        <v>40.375930735310234</v>
      </c>
      <c r="P70" t="s">
        <v>6</v>
      </c>
      <c r="Q70" s="6">
        <f aca="true" t="shared" si="60" ref="Q70:X70">100*Q69/$X69</f>
        <v>26.094773005945722</v>
      </c>
      <c r="R70" s="6">
        <f t="shared" si="60"/>
        <v>17.30535655070832</v>
      </c>
      <c r="S70" s="6">
        <f t="shared" si="60"/>
        <v>13.397546135278736</v>
      </c>
      <c r="T70" s="6">
        <f t="shared" si="60"/>
        <v>11.992087790056528</v>
      </c>
      <c r="U70" s="6">
        <f t="shared" si="60"/>
        <v>12.65837915371743</v>
      </c>
      <c r="V70" s="6">
        <f t="shared" si="60"/>
        <v>13.716617954392975</v>
      </c>
      <c r="W70" s="6">
        <f t="shared" si="60"/>
        <v>4.835239409900289</v>
      </c>
      <c r="X70" s="6">
        <f t="shared" si="60"/>
        <v>100</v>
      </c>
    </row>
    <row r="71" spans="2:24" ht="12.75">
      <c r="B71" s="11"/>
      <c r="C71" s="11"/>
      <c r="D71" s="11"/>
      <c r="E71" s="12"/>
      <c r="F71" s="22"/>
      <c r="G71" s="11"/>
      <c r="H71" s="11"/>
      <c r="I71" s="11"/>
      <c r="J71" s="22"/>
      <c r="K71" s="22"/>
      <c r="L71" s="65"/>
      <c r="M71" s="11"/>
      <c r="N71" s="11"/>
      <c r="O71" s="65"/>
      <c r="Q71" s="6"/>
      <c r="R71" s="6"/>
      <c r="S71" s="6"/>
      <c r="T71" s="6"/>
      <c r="U71" s="6"/>
      <c r="V71" s="6"/>
      <c r="W71" s="6"/>
      <c r="X71" s="6"/>
    </row>
    <row r="72" spans="2:24" ht="12.75">
      <c r="B72" s="11"/>
      <c r="C72" s="11"/>
      <c r="D72" s="11"/>
      <c r="E72" s="12"/>
      <c r="F72" s="22"/>
      <c r="G72" s="11"/>
      <c r="H72" s="11"/>
      <c r="I72" s="11"/>
      <c r="J72" s="22"/>
      <c r="K72" s="22"/>
      <c r="L72" s="65"/>
      <c r="M72" s="11"/>
      <c r="N72" s="11"/>
      <c r="O72" s="65"/>
      <c r="Q72" s="6"/>
      <c r="R72" s="6"/>
      <c r="S72" s="6"/>
      <c r="T72" s="6"/>
      <c r="U72" s="6"/>
      <c r="V72" s="6"/>
      <c r="W72" s="6"/>
      <c r="X72" s="6"/>
    </row>
    <row r="73" spans="2:24" ht="12.75">
      <c r="B73" s="11"/>
      <c r="C73" s="11"/>
      <c r="D73" s="11"/>
      <c r="E73" s="12"/>
      <c r="F73" s="22"/>
      <c r="G73" s="11"/>
      <c r="H73" s="11"/>
      <c r="I73" s="11"/>
      <c r="J73" s="22"/>
      <c r="K73" s="22"/>
      <c r="L73" s="65"/>
      <c r="M73" s="11"/>
      <c r="N73" s="11"/>
      <c r="O73" s="65"/>
      <c r="Q73" s="6"/>
      <c r="R73" s="6"/>
      <c r="S73" s="6"/>
      <c r="T73" s="6"/>
      <c r="U73" s="6"/>
      <c r="V73" s="6"/>
      <c r="W73" s="6"/>
      <c r="X73" s="6"/>
    </row>
    <row r="74" spans="2:24" ht="12.75">
      <c r="B74" s="11"/>
      <c r="C74" s="11"/>
      <c r="D74" s="11"/>
      <c r="E74" s="12"/>
      <c r="F74" s="22"/>
      <c r="G74" s="11"/>
      <c r="H74" s="11"/>
      <c r="I74" s="11"/>
      <c r="J74" s="22"/>
      <c r="K74" s="22"/>
      <c r="L74" s="65"/>
      <c r="M74" s="11"/>
      <c r="N74" s="11"/>
      <c r="O74" s="65"/>
      <c r="Q74" s="6"/>
      <c r="R74" s="6"/>
      <c r="S74" s="6"/>
      <c r="T74" s="6"/>
      <c r="U74" s="6"/>
      <c r="V74" s="6"/>
      <c r="W74" s="6"/>
      <c r="X74" s="6"/>
    </row>
    <row r="75" spans="2:15" ht="12.75">
      <c r="B75" s="21"/>
      <c r="C75" s="21"/>
      <c r="D75" s="21"/>
      <c r="E75" s="21"/>
      <c r="F75" s="21"/>
      <c r="K75" s="69" t="s">
        <v>411</v>
      </c>
      <c r="L75" s="69"/>
      <c r="M75" s="69"/>
      <c r="N75" s="69"/>
      <c r="O75" s="69"/>
    </row>
    <row r="76" spans="1:23" ht="12.75">
      <c r="A76" s="64">
        <v>1847</v>
      </c>
      <c r="B76" t="s">
        <v>383</v>
      </c>
      <c r="C76" t="s">
        <v>474</v>
      </c>
      <c r="D76" t="s">
        <v>420</v>
      </c>
      <c r="E76" t="s">
        <v>6</v>
      </c>
      <c r="F76" t="s">
        <v>398</v>
      </c>
      <c r="G76" t="s">
        <v>421</v>
      </c>
      <c r="H76" t="s">
        <v>475</v>
      </c>
      <c r="I76" t="s">
        <v>422</v>
      </c>
      <c r="J76" t="s">
        <v>423</v>
      </c>
      <c r="K76" t="s">
        <v>425</v>
      </c>
      <c r="L76" t="s">
        <v>426</v>
      </c>
      <c r="M76" t="s">
        <v>427</v>
      </c>
      <c r="N76" t="s">
        <v>428</v>
      </c>
      <c r="O76" t="s">
        <v>425</v>
      </c>
      <c r="Q76" t="s">
        <v>364</v>
      </c>
      <c r="R76" t="s">
        <v>365</v>
      </c>
      <c r="S76" t="s">
        <v>366</v>
      </c>
      <c r="T76" t="s">
        <v>367</v>
      </c>
      <c r="U76" t="s">
        <v>368</v>
      </c>
      <c r="V76" t="s">
        <v>369</v>
      </c>
      <c r="W76" t="s">
        <v>0</v>
      </c>
    </row>
    <row r="77" spans="1:24" ht="12.75">
      <c r="A77" t="s">
        <v>384</v>
      </c>
      <c r="B77" s="11">
        <v>2081</v>
      </c>
      <c r="C77" s="11">
        <v>114165</v>
      </c>
      <c r="D77" s="11">
        <f>C77</f>
        <v>114165</v>
      </c>
      <c r="E77" s="12">
        <f>100*D77/D$30</f>
        <v>22.95082955895568</v>
      </c>
      <c r="F77" s="22">
        <f>D77/B77</f>
        <v>54.86064392119174</v>
      </c>
      <c r="G77" s="13">
        <v>15</v>
      </c>
      <c r="H77" s="10">
        <f>G77/0.626</f>
        <v>23.961661341853034</v>
      </c>
      <c r="I77" s="11">
        <f aca="true" t="shared" si="61" ref="I77:I89">B77-H77</f>
        <v>2057.038338658147</v>
      </c>
      <c r="J77" s="22">
        <f aca="true" t="shared" si="62" ref="J77:J90">100*H77/B77</f>
        <v>1.1514493677007704</v>
      </c>
      <c r="K77" s="22">
        <f aca="true" t="shared" si="63" ref="K77:K89">F77</f>
        <v>54.86064392119174</v>
      </c>
      <c r="L77" s="22">
        <f aca="true" t="shared" si="64" ref="L77:L89">F77</f>
        <v>54.86064392119174</v>
      </c>
      <c r="M77" s="11">
        <f aca="true" t="shared" si="65" ref="M77:M89">H77*K77</f>
        <v>1314.5521706355846</v>
      </c>
      <c r="N77" s="11">
        <f aca="true" t="shared" si="66" ref="N77:N89">I77*L77</f>
        <v>112850.44782936442</v>
      </c>
      <c r="O77" s="65">
        <f aca="true" t="shared" si="67" ref="O77:O90">K77*H77/G77</f>
        <v>87.63681137570565</v>
      </c>
      <c r="P77" t="s">
        <v>436</v>
      </c>
      <c r="Q77" s="15">
        <f>$M77+$M78</f>
        <v>2865.2193384611815</v>
      </c>
      <c r="R77" s="15">
        <f>$M79+$M80</f>
        <v>4991.477254298896</v>
      </c>
      <c r="S77" s="15">
        <f>$M81+$M82</f>
        <v>4663.931208010337</v>
      </c>
      <c r="T77" s="15">
        <f>$M83+$M84</f>
        <v>6225.966701844867</v>
      </c>
      <c r="U77" s="15">
        <f>$M85+$M86</f>
        <v>4109.782251779368</v>
      </c>
      <c r="V77" s="15">
        <f>$M87+$M88</f>
        <v>1571.28959115438</v>
      </c>
      <c r="W77" s="15">
        <f>$M89</f>
        <v>550.4390032366855</v>
      </c>
      <c r="X77" s="15">
        <f>SUM(Q77:W77)</f>
        <v>24978.10534878572</v>
      </c>
    </row>
    <row r="78" spans="1:24" ht="12.75">
      <c r="A78" t="s">
        <v>385</v>
      </c>
      <c r="B78" s="11">
        <v>1700</v>
      </c>
      <c r="C78" s="11">
        <v>126940</v>
      </c>
      <c r="D78" s="11">
        <f>C78</f>
        <v>126940</v>
      </c>
      <c r="E78" s="12">
        <f aca="true" t="shared" si="68" ref="E78:E90">100*D78/D$30</f>
        <v>25.519014621064546</v>
      </c>
      <c r="F78" s="22">
        <f aca="true" t="shared" si="69" ref="F78:F90">D78/B78</f>
        <v>74.67058823529412</v>
      </c>
      <c r="G78" s="13">
        <v>13</v>
      </c>
      <c r="H78" s="10">
        <f aca="true" t="shared" si="70" ref="H78:H89">G78/0.626</f>
        <v>20.766773162939298</v>
      </c>
      <c r="I78" s="11">
        <f t="shared" si="61"/>
        <v>1679.2332268370608</v>
      </c>
      <c r="J78" s="22">
        <f t="shared" si="62"/>
        <v>1.2215748919376057</v>
      </c>
      <c r="K78" s="22">
        <f t="shared" si="63"/>
        <v>74.67058823529412</v>
      </c>
      <c r="L78" s="22">
        <f t="shared" si="64"/>
        <v>74.67058823529412</v>
      </c>
      <c r="M78" s="11">
        <f t="shared" si="65"/>
        <v>1550.6671678255968</v>
      </c>
      <c r="N78" s="11">
        <f t="shared" si="66"/>
        <v>125389.3328321744</v>
      </c>
      <c r="O78" s="65">
        <f t="shared" si="67"/>
        <v>119.28208983273822</v>
      </c>
      <c r="P78" t="s">
        <v>428</v>
      </c>
      <c r="Q78" s="15">
        <f>$N77+$N78</f>
        <v>238239.78066153883</v>
      </c>
      <c r="R78" s="15">
        <f>$N79+$N80</f>
        <v>201993.5227457011</v>
      </c>
      <c r="S78" s="15">
        <f>$N81+$N82</f>
        <v>145793.06879198967</v>
      </c>
      <c r="T78" s="15">
        <f>$N83+$N84</f>
        <v>95395.03329815512</v>
      </c>
      <c r="U78" s="15">
        <f>$N85+$N86</f>
        <v>47186.21774822063</v>
      </c>
      <c r="V78" s="15">
        <f>$N87+$N88</f>
        <v>19690.71040884562</v>
      </c>
      <c r="W78" s="15">
        <f>$N89</f>
        <v>4184.5609967633145</v>
      </c>
      <c r="X78" s="15">
        <f>SUM(Q78:W78)</f>
        <v>752482.8946512142</v>
      </c>
    </row>
    <row r="79" spans="1:23" ht="12.75">
      <c r="A79" t="s">
        <v>386</v>
      </c>
      <c r="B79" s="11">
        <v>1391</v>
      </c>
      <c r="C79" s="11">
        <v>206985</v>
      </c>
      <c r="D79" s="11">
        <f>C79*C$179/(C$179+C$180)</f>
        <v>107157.14351989958</v>
      </c>
      <c r="E79" s="12">
        <f t="shared" si="68"/>
        <v>21.542025462705446</v>
      </c>
      <c r="F79" s="22">
        <f t="shared" si="69"/>
        <v>77.03604854054606</v>
      </c>
      <c r="G79" s="13">
        <v>17</v>
      </c>
      <c r="H79" s="10">
        <f t="shared" si="70"/>
        <v>27.156549520766774</v>
      </c>
      <c r="I79" s="11">
        <f t="shared" si="61"/>
        <v>1363.8434504792333</v>
      </c>
      <c r="J79" s="22">
        <f t="shared" si="62"/>
        <v>1.952304063318963</v>
      </c>
      <c r="K79" s="22">
        <f t="shared" si="63"/>
        <v>77.03604854054606</v>
      </c>
      <c r="L79" s="22">
        <f t="shared" si="64"/>
        <v>77.03604854054606</v>
      </c>
      <c r="M79" s="11">
        <f t="shared" si="65"/>
        <v>2092.033267075532</v>
      </c>
      <c r="N79" s="11">
        <f t="shared" si="66"/>
        <v>105065.11025282404</v>
      </c>
      <c r="O79" s="65">
        <f t="shared" si="67"/>
        <v>123.06078041620776</v>
      </c>
      <c r="P79" t="s">
        <v>437</v>
      </c>
      <c r="Q79" s="3">
        <f aca="true" t="shared" si="71" ref="Q79:W79">Q77/(Q77+Q78)</f>
        <v>0.011883699377703413</v>
      </c>
      <c r="R79" s="3">
        <f t="shared" si="71"/>
        <v>0.024115164163098272</v>
      </c>
      <c r="S79" s="3">
        <f t="shared" si="71"/>
        <v>0.030998432828052782</v>
      </c>
      <c r="T79" s="3">
        <f t="shared" si="71"/>
        <v>0.06126653646239329</v>
      </c>
      <c r="U79" s="3">
        <f t="shared" si="71"/>
        <v>0.08011896155215549</v>
      </c>
      <c r="V79" s="3">
        <f t="shared" si="71"/>
        <v>0.07390130708091337</v>
      </c>
      <c r="W79" s="3">
        <f t="shared" si="71"/>
        <v>0.11624899751566747</v>
      </c>
    </row>
    <row r="80" spans="1:24" ht="12.75">
      <c r="A80" t="s">
        <v>387</v>
      </c>
      <c r="B80" s="11">
        <v>1265</v>
      </c>
      <c r="C80" s="11"/>
      <c r="D80" s="11">
        <f>C79*C$180/(C$179+C$180)</f>
        <v>99827.85648010042</v>
      </c>
      <c r="E80" s="12">
        <f t="shared" si="68"/>
        <v>20.068603506422054</v>
      </c>
      <c r="F80" s="22">
        <f t="shared" si="69"/>
        <v>78.91530156529677</v>
      </c>
      <c r="G80" s="13">
        <v>23</v>
      </c>
      <c r="H80" s="10">
        <f t="shared" si="70"/>
        <v>36.74121405750799</v>
      </c>
      <c r="I80" s="11">
        <f t="shared" si="61"/>
        <v>1228.258785942492</v>
      </c>
      <c r="J80" s="22">
        <f t="shared" si="62"/>
        <v>2.904443799012489</v>
      </c>
      <c r="K80" s="22">
        <f t="shared" si="63"/>
        <v>78.91530156529677</v>
      </c>
      <c r="L80" s="22">
        <f t="shared" si="64"/>
        <v>78.91530156529677</v>
      </c>
      <c r="M80" s="11">
        <f t="shared" si="65"/>
        <v>2899.443987223364</v>
      </c>
      <c r="N80" s="11">
        <f t="shared" si="66"/>
        <v>96928.41249287706</v>
      </c>
      <c r="O80" s="65">
        <f t="shared" si="67"/>
        <v>126.06278205318974</v>
      </c>
      <c r="P80" t="s">
        <v>438</v>
      </c>
      <c r="Q80" s="15">
        <f>Q77+Q78</f>
        <v>241105</v>
      </c>
      <c r="R80" s="15">
        <f aca="true" t="shared" si="72" ref="R80:W80">R77+R78</f>
        <v>206985</v>
      </c>
      <c r="S80" s="15">
        <f t="shared" si="72"/>
        <v>150457</v>
      </c>
      <c r="T80" s="15">
        <f t="shared" si="72"/>
        <v>101620.99999999999</v>
      </c>
      <c r="U80" s="15">
        <f t="shared" si="72"/>
        <v>51296</v>
      </c>
      <c r="V80" s="15">
        <f t="shared" si="72"/>
        <v>21262</v>
      </c>
      <c r="W80" s="15">
        <f t="shared" si="72"/>
        <v>4735</v>
      </c>
      <c r="X80" s="15">
        <f>SUM(Q80:W80)</f>
        <v>777461</v>
      </c>
    </row>
    <row r="81" spans="1:23" ht="12.75">
      <c r="A81" t="s">
        <v>388</v>
      </c>
      <c r="B81" s="11">
        <v>1198</v>
      </c>
      <c r="C81" s="11">
        <v>150457</v>
      </c>
      <c r="D81" s="11">
        <f>C81*C$181/(C$181+C$182)</f>
        <v>83916.86306426128</v>
      </c>
      <c r="E81" s="12">
        <f t="shared" si="68"/>
        <v>16.869983106119072</v>
      </c>
      <c r="F81" s="22">
        <f t="shared" si="69"/>
        <v>70.04746499520975</v>
      </c>
      <c r="G81" s="13">
        <v>21</v>
      </c>
      <c r="H81" s="10">
        <f t="shared" si="70"/>
        <v>33.546325878594246</v>
      </c>
      <c r="I81" s="11">
        <f t="shared" si="61"/>
        <v>1164.4536741214058</v>
      </c>
      <c r="J81" s="22">
        <f t="shared" si="62"/>
        <v>2.800194146794177</v>
      </c>
      <c r="K81" s="22">
        <f t="shared" si="63"/>
        <v>70.04746499520975</v>
      </c>
      <c r="L81" s="22">
        <f t="shared" si="64"/>
        <v>70.04746499520975</v>
      </c>
      <c r="M81" s="11">
        <f t="shared" si="65"/>
        <v>2349.8350876987292</v>
      </c>
      <c r="N81" s="11">
        <f t="shared" si="66"/>
        <v>81567.02797656256</v>
      </c>
      <c r="O81" s="65">
        <f t="shared" si="67"/>
        <v>111.89690893803473</v>
      </c>
      <c r="P81" t="s">
        <v>6</v>
      </c>
      <c r="Q81" s="6">
        <f aca="true" t="shared" si="73" ref="Q81:W81">100*Q80/$X80</f>
        <v>31.011844967143045</v>
      </c>
      <c r="R81" s="6">
        <f t="shared" si="73"/>
        <v>26.623200392045387</v>
      </c>
      <c r="S81" s="6">
        <f t="shared" si="73"/>
        <v>19.35235336563506</v>
      </c>
      <c r="T81" s="6">
        <f t="shared" si="73"/>
        <v>13.070880725849912</v>
      </c>
      <c r="U81" s="6">
        <f t="shared" si="73"/>
        <v>6.597887225211297</v>
      </c>
      <c r="V81" s="6">
        <f t="shared" si="73"/>
        <v>2.7347995590775613</v>
      </c>
      <c r="W81" s="6">
        <f t="shared" si="73"/>
        <v>0.6090337650377318</v>
      </c>
    </row>
    <row r="82" spans="1:24" ht="12.75">
      <c r="A82" t="s">
        <v>389</v>
      </c>
      <c r="B82" s="11">
        <v>1378</v>
      </c>
      <c r="C82" s="11"/>
      <c r="D82" s="11">
        <f>C81*C$182/(C$181+C$182)</f>
        <v>66540.13693573872</v>
      </c>
      <c r="E82" s="12">
        <f t="shared" si="68"/>
        <v>13.376703382312536</v>
      </c>
      <c r="F82" s="22">
        <f t="shared" si="69"/>
        <v>48.28747237716888</v>
      </c>
      <c r="G82" s="13">
        <v>30</v>
      </c>
      <c r="H82" s="10">
        <f t="shared" si="70"/>
        <v>47.92332268370607</v>
      </c>
      <c r="I82" s="11">
        <f t="shared" si="61"/>
        <v>1330.0766773162939</v>
      </c>
      <c r="J82" s="22">
        <f t="shared" si="62"/>
        <v>3.4777447520831686</v>
      </c>
      <c r="K82" s="22">
        <f t="shared" si="63"/>
        <v>48.28747237716888</v>
      </c>
      <c r="L82" s="22">
        <f t="shared" si="64"/>
        <v>48.28747237716888</v>
      </c>
      <c r="M82" s="11">
        <f t="shared" si="65"/>
        <v>2314.0961203116076</v>
      </c>
      <c r="N82" s="11">
        <f t="shared" si="66"/>
        <v>64226.040815427106</v>
      </c>
      <c r="O82" s="65">
        <f t="shared" si="67"/>
        <v>77.13653734372025</v>
      </c>
      <c r="P82" t="s">
        <v>460</v>
      </c>
      <c r="Q82" s="15">
        <f>Q78*Q84/100</f>
        <v>12606.356626940573</v>
      </c>
      <c r="R82" s="15">
        <f aca="true" t="shared" si="74" ref="R82:W82">R78*R84/100</f>
        <v>22009.03594193523</v>
      </c>
      <c r="S82" s="15">
        <f t="shared" si="74"/>
        <v>21046.213558431016</v>
      </c>
      <c r="T82" s="15">
        <f t="shared" si="74"/>
        <v>27490.93840206537</v>
      </c>
      <c r="U82" s="15">
        <f t="shared" si="74"/>
        <v>18598.862424144798</v>
      </c>
      <c r="V82" s="15">
        <f t="shared" si="74"/>
        <v>7093.768982240019</v>
      </c>
      <c r="W82" s="15">
        <f t="shared" si="74"/>
        <v>2432.9839542272694</v>
      </c>
      <c r="X82" s="15">
        <f>SUM(Q82:W82)</f>
        <v>111278.15988998426</v>
      </c>
    </row>
    <row r="83" spans="1:24" ht="12.75">
      <c r="A83" t="s">
        <v>390</v>
      </c>
      <c r="B83" s="11">
        <v>1219</v>
      </c>
      <c r="C83" s="11">
        <v>101621</v>
      </c>
      <c r="D83" s="11">
        <f>C83*(C$183/(C$183+C$184)-0.04)</f>
        <v>52836.9182381428</v>
      </c>
      <c r="E83" s="12">
        <f t="shared" si="68"/>
        <v>10.621916567285002</v>
      </c>
      <c r="F83" s="22">
        <f t="shared" si="69"/>
        <v>43.34447763588417</v>
      </c>
      <c r="G83" s="13">
        <v>50</v>
      </c>
      <c r="H83" s="10">
        <f t="shared" si="70"/>
        <v>79.87220447284345</v>
      </c>
      <c r="I83" s="11">
        <f t="shared" si="61"/>
        <v>1139.1277955271566</v>
      </c>
      <c r="J83" s="22">
        <f t="shared" si="62"/>
        <v>6.552272721316116</v>
      </c>
      <c r="K83" s="22">
        <f t="shared" si="63"/>
        <v>43.34447763588417</v>
      </c>
      <c r="L83" s="22">
        <f t="shared" si="64"/>
        <v>43.34447763588417</v>
      </c>
      <c r="M83" s="11">
        <f t="shared" si="65"/>
        <v>3462.0189805019304</v>
      </c>
      <c r="N83" s="11">
        <f t="shared" si="66"/>
        <v>49374.89925764088</v>
      </c>
      <c r="O83" s="65">
        <f t="shared" si="67"/>
        <v>69.2403796100386</v>
      </c>
      <c r="P83" t="s">
        <v>405</v>
      </c>
      <c r="Q83" s="15">
        <f aca="true" t="shared" si="75" ref="Q83:W83">Q78-Q82</f>
        <v>225633.42403459825</v>
      </c>
      <c r="R83" s="15">
        <f t="shared" si="75"/>
        <v>179984.48680376587</v>
      </c>
      <c r="S83" s="15">
        <f t="shared" si="75"/>
        <v>124746.85523355866</v>
      </c>
      <c r="T83" s="15">
        <f t="shared" si="75"/>
        <v>67904.09489608975</v>
      </c>
      <c r="U83" s="15">
        <f t="shared" si="75"/>
        <v>28587.355324075834</v>
      </c>
      <c r="V83" s="15">
        <f t="shared" si="75"/>
        <v>12596.941426605603</v>
      </c>
      <c r="W83" s="15">
        <f t="shared" si="75"/>
        <v>1751.5770425360452</v>
      </c>
      <c r="X83" s="15">
        <f>SUM(Q83:W83)</f>
        <v>641204.73476123</v>
      </c>
    </row>
    <row r="84" spans="1:24" ht="12.75">
      <c r="A84" t="s">
        <v>391</v>
      </c>
      <c r="B84" s="11">
        <v>1156</v>
      </c>
      <c r="C84" s="11"/>
      <c r="D84" s="11">
        <f>C83*(C$184/(C$183+C$184)+0.04)</f>
        <v>48784.08176185719</v>
      </c>
      <c r="E84" s="12">
        <f t="shared" si="68"/>
        <v>9.807166344383502</v>
      </c>
      <c r="F84" s="22">
        <f t="shared" si="69"/>
        <v>42.20076276977265</v>
      </c>
      <c r="G84" s="13">
        <v>41</v>
      </c>
      <c r="H84" s="10">
        <f t="shared" si="70"/>
        <v>65.49520766773163</v>
      </c>
      <c r="I84" s="11">
        <f t="shared" si="61"/>
        <v>1090.5047923322684</v>
      </c>
      <c r="J84" s="22">
        <f t="shared" si="62"/>
        <v>5.6656754037830135</v>
      </c>
      <c r="K84" s="22">
        <f t="shared" si="63"/>
        <v>42.20076276977265</v>
      </c>
      <c r="L84" s="22">
        <f t="shared" si="64"/>
        <v>42.20076276977265</v>
      </c>
      <c r="M84" s="11">
        <f t="shared" si="65"/>
        <v>2763.9477213429373</v>
      </c>
      <c r="N84" s="11">
        <f t="shared" si="66"/>
        <v>46020.13404051425</v>
      </c>
      <c r="O84" s="65">
        <f t="shared" si="67"/>
        <v>67.41335905714482</v>
      </c>
      <c r="P84" t="s">
        <v>461</v>
      </c>
      <c r="Q84" s="6">
        <f>100*Q87/(Q87+Q89)</f>
        <v>5.291457451788919</v>
      </c>
      <c r="R84" s="6">
        <f aca="true" t="shared" si="76" ref="R84:X84">100*R87/(R87+R89)</f>
        <v>10.895911731607065</v>
      </c>
      <c r="S84" s="6">
        <f t="shared" si="76"/>
        <v>14.43567498291617</v>
      </c>
      <c r="T84" s="6">
        <f t="shared" si="76"/>
        <v>28.817997595475475</v>
      </c>
      <c r="U84" s="6">
        <f t="shared" si="76"/>
        <v>39.41587885552906</v>
      </c>
      <c r="V84" s="6">
        <f t="shared" si="76"/>
        <v>36.0259677530644</v>
      </c>
      <c r="W84" s="6">
        <f t="shared" si="76"/>
        <v>58.1419163469989</v>
      </c>
      <c r="X84" s="6">
        <f t="shared" si="76"/>
        <v>23.171000072976145</v>
      </c>
    </row>
    <row r="85" spans="1:24" ht="12.75">
      <c r="A85" t="s">
        <v>392</v>
      </c>
      <c r="B85" s="11">
        <v>1285</v>
      </c>
      <c r="C85" s="11">
        <v>51296</v>
      </c>
      <c r="D85" s="11">
        <f>C85*C$185/(C$185+C$186)</f>
        <v>30430.067484834082</v>
      </c>
      <c r="E85" s="12">
        <f t="shared" si="68"/>
        <v>6.117420332956214</v>
      </c>
      <c r="F85" s="22">
        <f t="shared" si="69"/>
        <v>23.680986369520685</v>
      </c>
      <c r="G85" s="13">
        <v>59</v>
      </c>
      <c r="H85" s="10">
        <f t="shared" si="70"/>
        <v>94.24920127795527</v>
      </c>
      <c r="I85" s="11">
        <f t="shared" si="61"/>
        <v>1190.7507987220447</v>
      </c>
      <c r="J85" s="22">
        <f t="shared" si="62"/>
        <v>7.334568192836986</v>
      </c>
      <c r="K85" s="22">
        <f t="shared" si="63"/>
        <v>23.680986369520685</v>
      </c>
      <c r="L85" s="22">
        <f t="shared" si="64"/>
        <v>23.680986369520685</v>
      </c>
      <c r="M85" s="11">
        <f t="shared" si="65"/>
        <v>2231.9140508014702</v>
      </c>
      <c r="N85" s="11">
        <f t="shared" si="66"/>
        <v>28198.15343403261</v>
      </c>
      <c r="O85" s="65">
        <f t="shared" si="67"/>
        <v>37.8290517084995</v>
      </c>
      <c r="P85" t="s">
        <v>463</v>
      </c>
      <c r="Q85" s="4">
        <f>H77+H78</f>
        <v>44.72843450479233</v>
      </c>
      <c r="R85" s="4">
        <f>H79+H80</f>
        <v>63.89776357827476</v>
      </c>
      <c r="S85" s="4">
        <f>H81+H82</f>
        <v>81.4696485623003</v>
      </c>
      <c r="T85" s="4">
        <f>H83+H84</f>
        <v>145.36741214057508</v>
      </c>
      <c r="U85" s="4">
        <f>H85+H86</f>
        <v>215.65495207667732</v>
      </c>
      <c r="V85" s="4">
        <f>H87+H88</f>
        <v>194.88817891373802</v>
      </c>
      <c r="W85" s="4">
        <f>H89</f>
        <v>142.17252396166134</v>
      </c>
      <c r="X85" s="15">
        <f>SUM(Q85:W85)</f>
        <v>888.1789137380191</v>
      </c>
    </row>
    <row r="86" spans="1:24" ht="12.75">
      <c r="A86" t="s">
        <v>393</v>
      </c>
      <c r="B86" s="11">
        <v>1349</v>
      </c>
      <c r="C86" s="11"/>
      <c r="D86" s="11">
        <f>C85*C$186/(C$185+C$186)</f>
        <v>20865.932515165918</v>
      </c>
      <c r="E86" s="12">
        <f t="shared" si="68"/>
        <v>4.1947222068431165</v>
      </c>
      <c r="F86" s="22">
        <f t="shared" si="69"/>
        <v>15.467703865949531</v>
      </c>
      <c r="G86" s="13">
        <v>76</v>
      </c>
      <c r="H86" s="10">
        <f t="shared" si="70"/>
        <v>121.40575079872204</v>
      </c>
      <c r="I86" s="11">
        <f t="shared" si="61"/>
        <v>1227.594249201278</v>
      </c>
      <c r="J86" s="22">
        <f t="shared" si="62"/>
        <v>8.999685011024614</v>
      </c>
      <c r="K86" s="22">
        <f t="shared" si="63"/>
        <v>15.467703865949531</v>
      </c>
      <c r="L86" s="22">
        <f t="shared" si="64"/>
        <v>15.467703865949531</v>
      </c>
      <c r="M86" s="11">
        <f t="shared" si="65"/>
        <v>1877.8682009778981</v>
      </c>
      <c r="N86" s="11">
        <f t="shared" si="66"/>
        <v>18988.06431418802</v>
      </c>
      <c r="O86" s="65">
        <f t="shared" si="67"/>
        <v>24.708792118130237</v>
      </c>
      <c r="P86" t="s">
        <v>6</v>
      </c>
      <c r="Q86" s="6">
        <f aca="true" t="shared" si="77" ref="Q86:X86">100*Q85/$X85</f>
        <v>5.0359712230215825</v>
      </c>
      <c r="R86" s="6">
        <f t="shared" si="77"/>
        <v>7.194244604316547</v>
      </c>
      <c r="S86" s="6">
        <f t="shared" si="77"/>
        <v>9.172661870503596</v>
      </c>
      <c r="T86" s="6">
        <f t="shared" si="77"/>
        <v>16.366906474820144</v>
      </c>
      <c r="U86" s="6">
        <f t="shared" si="77"/>
        <v>24.28057553956835</v>
      </c>
      <c r="V86" s="6">
        <f t="shared" si="77"/>
        <v>21.942446043165468</v>
      </c>
      <c r="W86" s="6">
        <f t="shared" si="77"/>
        <v>16.007194244604317</v>
      </c>
      <c r="X86" s="6">
        <f t="shared" si="77"/>
        <v>99.99999999999999</v>
      </c>
    </row>
    <row r="87" spans="1:24" ht="12.75">
      <c r="A87" t="s">
        <v>394</v>
      </c>
      <c r="B87" s="11">
        <v>1395</v>
      </c>
      <c r="C87" s="11">
        <v>21262</v>
      </c>
      <c r="D87" s="11">
        <f>C87*C$187/(C$187+C$188)</f>
        <v>14066.799825662483</v>
      </c>
      <c r="E87" s="12">
        <f t="shared" si="68"/>
        <v>2.8278782922850882</v>
      </c>
      <c r="F87" s="22">
        <f t="shared" si="69"/>
        <v>10.083727473593179</v>
      </c>
      <c r="G87" s="13">
        <v>61</v>
      </c>
      <c r="H87" s="10">
        <f t="shared" si="70"/>
        <v>97.44408945686901</v>
      </c>
      <c r="I87" s="11">
        <f t="shared" si="61"/>
        <v>1297.555910543131</v>
      </c>
      <c r="J87" s="22">
        <f t="shared" si="62"/>
        <v>6.985239387589176</v>
      </c>
      <c r="K87" s="22">
        <f t="shared" si="63"/>
        <v>10.083727473593179</v>
      </c>
      <c r="L87" s="22">
        <f t="shared" si="64"/>
        <v>10.083727473593179</v>
      </c>
      <c r="M87" s="11">
        <f t="shared" si="65"/>
        <v>982.5996419955014</v>
      </c>
      <c r="N87" s="11">
        <f t="shared" si="66"/>
        <v>13084.200183666982</v>
      </c>
      <c r="O87" s="65">
        <f t="shared" si="67"/>
        <v>16.10819085238527</v>
      </c>
      <c r="P87" t="s">
        <v>464</v>
      </c>
      <c r="Q87" s="4">
        <f aca="true" t="shared" si="78" ref="Q87:W87">Q88*$X87/100</f>
        <v>197.70322017146663</v>
      </c>
      <c r="R87" s="4">
        <f t="shared" si="78"/>
        <v>282.4331716735238</v>
      </c>
      <c r="S87" s="4">
        <f t="shared" si="78"/>
        <v>360.10229388374285</v>
      </c>
      <c r="T87" s="4">
        <f t="shared" si="78"/>
        <v>642.5354655572667</v>
      </c>
      <c r="U87" s="4">
        <f t="shared" si="78"/>
        <v>953.211954398143</v>
      </c>
      <c r="V87" s="4">
        <f t="shared" si="78"/>
        <v>861.4211736042475</v>
      </c>
      <c r="W87" s="4">
        <f t="shared" si="78"/>
        <v>628.4138069735905</v>
      </c>
      <c r="X87" s="15">
        <f>'Res1807-1913'!E59-EstateMultiplier18171902!X85</f>
        <v>3925.821086261981</v>
      </c>
    </row>
    <row r="88" spans="1:24" ht="12.75">
      <c r="A88" t="s">
        <v>395</v>
      </c>
      <c r="B88" s="11">
        <v>1191</v>
      </c>
      <c r="C88" s="11"/>
      <c r="D88" s="11">
        <f>C87*C$188/(C$187+C$188)</f>
        <v>7195.200174337518</v>
      </c>
      <c r="E88" s="12">
        <f t="shared" si="68"/>
        <v>1.4464661922987654</v>
      </c>
      <c r="F88" s="22">
        <f t="shared" si="69"/>
        <v>6.04130997005669</v>
      </c>
      <c r="G88" s="13">
        <v>61</v>
      </c>
      <c r="H88" s="10">
        <f t="shared" si="70"/>
        <v>97.44408945686901</v>
      </c>
      <c r="I88" s="11">
        <f t="shared" si="61"/>
        <v>1093.555910543131</v>
      </c>
      <c r="J88" s="22">
        <f t="shared" si="62"/>
        <v>8.181703564808481</v>
      </c>
      <c r="K88" s="22">
        <f t="shared" si="63"/>
        <v>6.04130997005669</v>
      </c>
      <c r="L88" s="22">
        <f t="shared" si="64"/>
        <v>6.04130997005669</v>
      </c>
      <c r="M88" s="11">
        <f t="shared" si="65"/>
        <v>588.6899491588788</v>
      </c>
      <c r="N88" s="11">
        <f t="shared" si="66"/>
        <v>6606.510225178639</v>
      </c>
      <c r="O88" s="65">
        <f t="shared" si="67"/>
        <v>9.650654904243915</v>
      </c>
      <c r="P88" t="s">
        <v>6</v>
      </c>
      <c r="Q88" s="6">
        <f>Q86</f>
        <v>5.0359712230215825</v>
      </c>
      <c r="R88" s="6">
        <f aca="true" t="shared" si="79" ref="R88:W88">R86</f>
        <v>7.194244604316547</v>
      </c>
      <c r="S88" s="6">
        <f t="shared" si="79"/>
        <v>9.172661870503596</v>
      </c>
      <c r="T88" s="6">
        <f t="shared" si="79"/>
        <v>16.366906474820144</v>
      </c>
      <c r="U88" s="6">
        <f t="shared" si="79"/>
        <v>24.28057553956835</v>
      </c>
      <c r="V88" s="6">
        <f t="shared" si="79"/>
        <v>21.942446043165468</v>
      </c>
      <c r="W88" s="6">
        <f t="shared" si="79"/>
        <v>16.007194244604317</v>
      </c>
      <c r="X88" s="6">
        <f>100*X87/$X87</f>
        <v>100</v>
      </c>
    </row>
    <row r="89" spans="1:24" ht="12.75">
      <c r="A89" t="s">
        <v>396</v>
      </c>
      <c r="B89" s="11">
        <v>1223</v>
      </c>
      <c r="C89" s="11">
        <v>4735</v>
      </c>
      <c r="D89" s="11">
        <f>C89</f>
        <v>4735</v>
      </c>
      <c r="E89" s="12">
        <f t="shared" si="68"/>
        <v>0.9518869877953413</v>
      </c>
      <c r="F89" s="22">
        <f t="shared" si="69"/>
        <v>3.8716271463614063</v>
      </c>
      <c r="G89" s="13">
        <v>89</v>
      </c>
      <c r="H89" s="10">
        <f t="shared" si="70"/>
        <v>142.17252396166134</v>
      </c>
      <c r="I89" s="11">
        <f t="shared" si="61"/>
        <v>1080.8274760383388</v>
      </c>
      <c r="J89" s="22">
        <f t="shared" si="62"/>
        <v>11.62489975156675</v>
      </c>
      <c r="K89" s="22">
        <f t="shared" si="63"/>
        <v>3.8716271463614063</v>
      </c>
      <c r="L89" s="22">
        <f t="shared" si="64"/>
        <v>3.8716271463614063</v>
      </c>
      <c r="M89" s="11">
        <f t="shared" si="65"/>
        <v>550.4390032366855</v>
      </c>
      <c r="N89" s="11">
        <f t="shared" si="66"/>
        <v>4184.5609967633145</v>
      </c>
      <c r="O89" s="65">
        <f t="shared" si="67"/>
        <v>6.184707901535792</v>
      </c>
      <c r="P89" t="s">
        <v>402</v>
      </c>
      <c r="Q89" s="15">
        <f>$B77+$B78-Q85-Q87</f>
        <v>3538.568345323741</v>
      </c>
      <c r="R89" s="15">
        <f>$B79+$B80-R85-R87</f>
        <v>2309.6690647482014</v>
      </c>
      <c r="S89" s="15">
        <f>$B81+$B82-S85-S87</f>
        <v>2134.428057553957</v>
      </c>
      <c r="T89" s="15">
        <f>$B83+$B84-T85-T87</f>
        <v>1587.0971223021581</v>
      </c>
      <c r="U89" s="15">
        <f>$B85+$B86-U85-U87</f>
        <v>1465.1330935251794</v>
      </c>
      <c r="V89" s="15">
        <f>$B87+$B88-V85-V87</f>
        <v>1529.6906474820144</v>
      </c>
      <c r="W89" s="15">
        <f>$B89-W85-W87</f>
        <v>452.4136690647483</v>
      </c>
      <c r="X89" s="15">
        <f>SUM(Q89:W89)</f>
        <v>13016.999999999998</v>
      </c>
    </row>
    <row r="90" spans="1:24" ht="12.75">
      <c r="A90" t="s">
        <v>18</v>
      </c>
      <c r="B90" s="11">
        <f>SUM(B77:B89)</f>
        <v>17831</v>
      </c>
      <c r="C90" s="11">
        <f>SUM(C77:C89)</f>
        <v>777461</v>
      </c>
      <c r="D90" s="11">
        <f>SUM(D77:D89)</f>
        <v>777461</v>
      </c>
      <c r="E90" s="12">
        <f t="shared" si="68"/>
        <v>156.29461656142635</v>
      </c>
      <c r="F90" s="22">
        <f t="shared" si="69"/>
        <v>43.6016488138635</v>
      </c>
      <c r="G90" s="11">
        <f>SUM(G77:G89)</f>
        <v>556</v>
      </c>
      <c r="H90" s="11">
        <f>SUM(H77:H89)</f>
        <v>888.1789137380192</v>
      </c>
      <c r="I90" s="11">
        <f>SUM(I77:I89)</f>
        <v>16942.82108626198</v>
      </c>
      <c r="J90" s="22">
        <f t="shared" si="62"/>
        <v>4.981094238898655</v>
      </c>
      <c r="K90" s="22">
        <f>M90/H90</f>
        <v>28.122830842337873</v>
      </c>
      <c r="L90" s="65">
        <f>N90/I90</f>
        <v>44.413081553541396</v>
      </c>
      <c r="M90" s="11">
        <f>SUM(M77:M89)</f>
        <v>24978.105348785717</v>
      </c>
      <c r="N90" s="11">
        <f>SUM(N77:N89)</f>
        <v>752482.8946512142</v>
      </c>
      <c r="O90" s="65">
        <f t="shared" si="67"/>
        <v>44.92464990788798</v>
      </c>
      <c r="P90" t="s">
        <v>6</v>
      </c>
      <c r="Q90" s="6">
        <f aca="true" t="shared" si="80" ref="Q90:X90">100*Q89/$X89</f>
        <v>27.184207922898835</v>
      </c>
      <c r="R90" s="6">
        <f t="shared" si="80"/>
        <v>17.74348209839596</v>
      </c>
      <c r="S90" s="6">
        <f t="shared" si="80"/>
        <v>16.39723482794774</v>
      </c>
      <c r="T90" s="6">
        <f t="shared" si="80"/>
        <v>12.192495369917479</v>
      </c>
      <c r="U90" s="6">
        <f t="shared" si="80"/>
        <v>11.25553578800937</v>
      </c>
      <c r="V90" s="6">
        <f t="shared" si="80"/>
        <v>11.751483809495387</v>
      </c>
      <c r="W90" s="6">
        <f t="shared" si="80"/>
        <v>3.4755601833352414</v>
      </c>
      <c r="X90" s="6">
        <f t="shared" si="80"/>
        <v>100</v>
      </c>
    </row>
    <row r="91" spans="2:24" ht="12.75">
      <c r="B91" s="11"/>
      <c r="C91" s="11"/>
      <c r="D91" s="11"/>
      <c r="E91" s="12"/>
      <c r="F91" s="22"/>
      <c r="G91" s="11"/>
      <c r="H91" s="11"/>
      <c r="I91" s="11"/>
      <c r="J91" s="22"/>
      <c r="K91" s="22"/>
      <c r="L91" s="65"/>
      <c r="M91" s="11"/>
      <c r="N91" s="11"/>
      <c r="O91" s="65"/>
      <c r="Q91" s="6"/>
      <c r="R91" s="6"/>
      <c r="S91" s="6"/>
      <c r="T91" s="6"/>
      <c r="U91" s="6"/>
      <c r="V91" s="6"/>
      <c r="W91" s="6"/>
      <c r="X91" s="6"/>
    </row>
    <row r="92" spans="2:24" ht="12.75">
      <c r="B92" s="11"/>
      <c r="C92" s="11"/>
      <c r="D92" s="11"/>
      <c r="E92" s="12"/>
      <c r="F92" s="22"/>
      <c r="G92" s="11"/>
      <c r="H92" s="11"/>
      <c r="I92" s="11"/>
      <c r="J92" s="22"/>
      <c r="K92" s="22"/>
      <c r="L92" s="65"/>
      <c r="M92" s="11"/>
      <c r="N92" s="11"/>
      <c r="O92" s="65"/>
      <c r="Q92" s="6"/>
      <c r="R92" s="6"/>
      <c r="S92" s="6"/>
      <c r="T92" s="6"/>
      <c r="U92" s="6"/>
      <c r="V92" s="6"/>
      <c r="W92" s="6"/>
      <c r="X92" s="6"/>
    </row>
    <row r="93" spans="2:24" ht="12.75">
      <c r="B93" s="11"/>
      <c r="C93" s="11"/>
      <c r="D93" s="11"/>
      <c r="E93" s="12"/>
      <c r="F93" s="22"/>
      <c r="G93" s="11"/>
      <c r="H93" s="11"/>
      <c r="I93" s="11"/>
      <c r="J93" s="22"/>
      <c r="K93" s="22"/>
      <c r="L93" s="65"/>
      <c r="M93" s="11"/>
      <c r="N93" s="11"/>
      <c r="O93" s="65"/>
      <c r="Q93" s="6"/>
      <c r="R93" s="6"/>
      <c r="S93" s="6"/>
      <c r="T93" s="6"/>
      <c r="U93" s="6"/>
      <c r="V93" s="6"/>
      <c r="W93" s="6"/>
      <c r="X93" s="6"/>
    </row>
    <row r="94" spans="2:24" ht="12.75">
      <c r="B94" s="11"/>
      <c r="C94" s="11"/>
      <c r="D94" s="11"/>
      <c r="E94" s="12"/>
      <c r="F94" s="22"/>
      <c r="G94" s="11"/>
      <c r="H94" s="11"/>
      <c r="I94" s="11"/>
      <c r="J94" s="22"/>
      <c r="K94" s="22"/>
      <c r="L94" s="65"/>
      <c r="M94" s="11"/>
      <c r="N94" s="11"/>
      <c r="O94" s="65"/>
      <c r="Q94" s="6"/>
      <c r="R94" s="6"/>
      <c r="S94" s="6"/>
      <c r="T94" s="6"/>
      <c r="U94" s="6"/>
      <c r="V94" s="6"/>
      <c r="W94" s="6"/>
      <c r="X94" s="6"/>
    </row>
    <row r="95" spans="2:15" ht="12.75">
      <c r="B95" s="21"/>
      <c r="C95" s="21"/>
      <c r="D95" s="21"/>
      <c r="E95" s="21"/>
      <c r="F95" s="21"/>
      <c r="K95" s="69" t="s">
        <v>411</v>
      </c>
      <c r="L95" s="69"/>
      <c r="M95" s="69"/>
      <c r="N95" s="69"/>
      <c r="O95" s="69"/>
    </row>
    <row r="96" spans="1:23" ht="12.75">
      <c r="A96" s="64">
        <v>1857</v>
      </c>
      <c r="B96" t="s">
        <v>383</v>
      </c>
      <c r="C96" t="s">
        <v>476</v>
      </c>
      <c r="D96" t="s">
        <v>420</v>
      </c>
      <c r="E96" t="s">
        <v>6</v>
      </c>
      <c r="F96" t="s">
        <v>398</v>
      </c>
      <c r="G96" t="s">
        <v>421</v>
      </c>
      <c r="H96" t="s">
        <v>477</v>
      </c>
      <c r="I96" t="s">
        <v>422</v>
      </c>
      <c r="J96" t="s">
        <v>423</v>
      </c>
      <c r="K96" t="s">
        <v>425</v>
      </c>
      <c r="L96" t="s">
        <v>426</v>
      </c>
      <c r="M96" t="s">
        <v>427</v>
      </c>
      <c r="N96" t="s">
        <v>428</v>
      </c>
      <c r="O96" t="s">
        <v>425</v>
      </c>
      <c r="Q96" t="s">
        <v>364</v>
      </c>
      <c r="R96" t="s">
        <v>365</v>
      </c>
      <c r="S96" t="s">
        <v>366</v>
      </c>
      <c r="T96" t="s">
        <v>367</v>
      </c>
      <c r="U96" t="s">
        <v>368</v>
      </c>
      <c r="V96" t="s">
        <v>369</v>
      </c>
      <c r="W96" t="s">
        <v>0</v>
      </c>
    </row>
    <row r="97" spans="1:24" ht="12.75">
      <c r="A97" t="s">
        <v>384</v>
      </c>
      <c r="B97" s="11">
        <v>2413</v>
      </c>
      <c r="C97" s="11">
        <v>125340</v>
      </c>
      <c r="D97" s="11">
        <f>C97</f>
        <v>125340</v>
      </c>
      <c r="E97" s="12">
        <f>100*D97/D$30</f>
        <v>25.1973632629922</v>
      </c>
      <c r="F97" s="22">
        <f>D97/B97</f>
        <v>51.94363862411935</v>
      </c>
      <c r="G97" s="13">
        <v>8</v>
      </c>
      <c r="H97" s="10">
        <f>G97/0.54</f>
        <v>14.814814814814813</v>
      </c>
      <c r="I97" s="11">
        <f aca="true" t="shared" si="81" ref="I97:I109">B97-H97</f>
        <v>2398.185185185185</v>
      </c>
      <c r="J97" s="22">
        <f aca="true" t="shared" si="82" ref="J97:J110">100*H97/B97</f>
        <v>0.6139583429264324</v>
      </c>
      <c r="K97" s="22">
        <f aca="true" t="shared" si="83" ref="K97:K109">F97</f>
        <v>51.94363862411935</v>
      </c>
      <c r="L97" s="22">
        <f aca="true" t="shared" si="84" ref="L97:L109">F97</f>
        <v>51.94363862411935</v>
      </c>
      <c r="M97" s="11">
        <f aca="true" t="shared" si="85" ref="M97:M109">H97*K97</f>
        <v>769.5353870239903</v>
      </c>
      <c r="N97" s="11">
        <f aca="true" t="shared" si="86" ref="N97:N109">I97*L97</f>
        <v>124570.46461297601</v>
      </c>
      <c r="O97" s="65">
        <f aca="true" t="shared" si="87" ref="O97:O110">K97*H97/G97</f>
        <v>96.19192337799879</v>
      </c>
      <c r="P97" t="s">
        <v>436</v>
      </c>
      <c r="Q97" s="15">
        <f>$M97+$M98</f>
        <v>1791.1907362618167</v>
      </c>
      <c r="R97" s="15">
        <f>$M99+$M100</f>
        <v>4303.872930720188</v>
      </c>
      <c r="S97" s="15">
        <f>$M101+$M102</f>
        <v>4940.522871285725</v>
      </c>
      <c r="T97" s="15">
        <f>$M103+$M104</f>
        <v>6274.214855600396</v>
      </c>
      <c r="U97" s="15">
        <f>$M105+$M106</f>
        <v>4911.949912170145</v>
      </c>
      <c r="V97" s="15">
        <f>$M107+$M108</f>
        <v>2032.1478713714355</v>
      </c>
      <c r="W97" s="15">
        <f>$M109</f>
        <v>790.7689824901154</v>
      </c>
      <c r="X97" s="15">
        <f>SUM(Q97:W97)</f>
        <v>25044.66815989982</v>
      </c>
    </row>
    <row r="98" spans="1:24" ht="12.75">
      <c r="A98" t="s">
        <v>385</v>
      </c>
      <c r="B98" s="11">
        <v>1849</v>
      </c>
      <c r="C98" s="11">
        <v>145726</v>
      </c>
      <c r="D98" s="11">
        <f>C98</f>
        <v>145726</v>
      </c>
      <c r="E98" s="12">
        <f aca="true" t="shared" si="88" ref="E98:E110">100*D98/D$30</f>
        <v>29.295603629031447</v>
      </c>
      <c r="F98" s="22">
        <f aca="true" t="shared" si="89" ref="F98:F110">D98/B98</f>
        <v>78.81341265548946</v>
      </c>
      <c r="G98" s="13">
        <v>7</v>
      </c>
      <c r="H98" s="10">
        <f aca="true" t="shared" si="90" ref="H98:H109">G98/0.54</f>
        <v>12.962962962962962</v>
      </c>
      <c r="I98" s="11">
        <f t="shared" si="81"/>
        <v>1836.037037037037</v>
      </c>
      <c r="J98" s="22">
        <f t="shared" si="82"/>
        <v>0.7010796626805279</v>
      </c>
      <c r="K98" s="22">
        <f t="shared" si="83"/>
        <v>78.81341265548946</v>
      </c>
      <c r="L98" s="22">
        <f t="shared" si="84"/>
        <v>78.81341265548946</v>
      </c>
      <c r="M98" s="11">
        <f t="shared" si="85"/>
        <v>1021.6553492378263</v>
      </c>
      <c r="N98" s="11">
        <f t="shared" si="86"/>
        <v>144704.34465076218</v>
      </c>
      <c r="O98" s="65">
        <f t="shared" si="87"/>
        <v>145.95076417683234</v>
      </c>
      <c r="P98" t="s">
        <v>428</v>
      </c>
      <c r="Q98" s="15">
        <f>$N97+$N98</f>
        <v>269274.8092637382</v>
      </c>
      <c r="R98" s="15">
        <f>$N99+$N100</f>
        <v>237135.1270692798</v>
      </c>
      <c r="S98" s="15">
        <f>$N101+$N102</f>
        <v>162082.47712871426</v>
      </c>
      <c r="T98" s="15">
        <f>$N103+$N104</f>
        <v>103947.78514439959</v>
      </c>
      <c r="U98" s="15">
        <f>$N105+$N106</f>
        <v>50941.050087829855</v>
      </c>
      <c r="V98" s="15">
        <f>$N107+$N108</f>
        <v>20367.85212862857</v>
      </c>
      <c r="W98" s="15">
        <f>$N109</f>
        <v>4109.231017509885</v>
      </c>
      <c r="X98" s="15">
        <f>SUM(Q98:W98)</f>
        <v>847858.3318401001</v>
      </c>
    </row>
    <row r="99" spans="1:23" ht="12.75">
      <c r="A99" t="s">
        <v>386</v>
      </c>
      <c r="B99" s="11">
        <v>1541</v>
      </c>
      <c r="C99" s="11">
        <v>241439</v>
      </c>
      <c r="D99" s="11">
        <f>C99*C$179/(C$179+C$180)</f>
        <v>124994.14727782707</v>
      </c>
      <c r="E99" s="12">
        <f t="shared" si="88"/>
        <v>25.12783576437974</v>
      </c>
      <c r="F99" s="22">
        <f t="shared" si="89"/>
        <v>81.11236033603313</v>
      </c>
      <c r="G99" s="13">
        <v>16</v>
      </c>
      <c r="H99" s="10">
        <f t="shared" si="90"/>
        <v>29.629629629629626</v>
      </c>
      <c r="I99" s="11">
        <f t="shared" si="81"/>
        <v>1511.3703703703704</v>
      </c>
      <c r="J99" s="22">
        <f t="shared" si="82"/>
        <v>1.9227533828442327</v>
      </c>
      <c r="K99" s="22">
        <f t="shared" si="83"/>
        <v>81.11236033603313</v>
      </c>
      <c r="L99" s="22">
        <f t="shared" si="84"/>
        <v>81.11236033603313</v>
      </c>
      <c r="M99" s="11">
        <f t="shared" si="85"/>
        <v>2403.3291951417223</v>
      </c>
      <c r="N99" s="11">
        <f t="shared" si="86"/>
        <v>122590.81808268535</v>
      </c>
      <c r="O99" s="65">
        <f t="shared" si="87"/>
        <v>150.20807469635764</v>
      </c>
      <c r="P99" t="s">
        <v>437</v>
      </c>
      <c r="Q99" s="3">
        <f aca="true" t="shared" si="91" ref="Q99:W99">Q97/(Q97+Q98)</f>
        <v>0.006607950596023907</v>
      </c>
      <c r="R99" s="3">
        <f t="shared" si="91"/>
        <v>0.017825922616976495</v>
      </c>
      <c r="S99" s="3">
        <f t="shared" si="91"/>
        <v>0.029579895411324938</v>
      </c>
      <c r="T99" s="3">
        <f t="shared" si="91"/>
        <v>0.05692343502749357</v>
      </c>
      <c r="U99" s="3">
        <f t="shared" si="91"/>
        <v>0.08794424493169829</v>
      </c>
      <c r="V99" s="3">
        <f t="shared" si="91"/>
        <v>0.09072088711479621</v>
      </c>
      <c r="W99" s="3">
        <f t="shared" si="91"/>
        <v>0.16138142499798272</v>
      </c>
    </row>
    <row r="100" spans="1:24" ht="12.75">
      <c r="A100" t="s">
        <v>387</v>
      </c>
      <c r="B100" s="11">
        <v>1475</v>
      </c>
      <c r="C100" s="11"/>
      <c r="D100" s="11">
        <f>C99*C$180/(C$179+C$180)</f>
        <v>116444.85272217293</v>
      </c>
      <c r="E100" s="12">
        <f t="shared" si="88"/>
        <v>23.409153136638086</v>
      </c>
      <c r="F100" s="22">
        <f t="shared" si="89"/>
        <v>78.94566286249012</v>
      </c>
      <c r="G100" s="13">
        <v>13</v>
      </c>
      <c r="H100" s="10">
        <f t="shared" si="90"/>
        <v>24.074074074074073</v>
      </c>
      <c r="I100" s="11">
        <f t="shared" si="81"/>
        <v>1450.9259259259259</v>
      </c>
      <c r="J100" s="22">
        <f t="shared" si="82"/>
        <v>1.6321406151914626</v>
      </c>
      <c r="K100" s="22">
        <f t="shared" si="83"/>
        <v>78.94566286249012</v>
      </c>
      <c r="L100" s="22">
        <f t="shared" si="84"/>
        <v>78.94566286249012</v>
      </c>
      <c r="M100" s="11">
        <f t="shared" si="85"/>
        <v>1900.5437355784659</v>
      </c>
      <c r="N100" s="11">
        <f t="shared" si="86"/>
        <v>114544.30898659446</v>
      </c>
      <c r="O100" s="65">
        <f t="shared" si="87"/>
        <v>146.1956719675743</v>
      </c>
      <c r="P100" t="s">
        <v>438</v>
      </c>
      <c r="Q100" s="15">
        <f>Q97+Q98</f>
        <v>271066.00000000006</v>
      </c>
      <c r="R100" s="15">
        <f aca="true" t="shared" si="92" ref="R100:W100">R97+R98</f>
        <v>241439</v>
      </c>
      <c r="S100" s="15">
        <f t="shared" si="92"/>
        <v>167023</v>
      </c>
      <c r="T100" s="15">
        <f t="shared" si="92"/>
        <v>110221.99999999999</v>
      </c>
      <c r="U100" s="15">
        <f t="shared" si="92"/>
        <v>55853</v>
      </c>
      <c r="V100" s="15">
        <f t="shared" si="92"/>
        <v>22400.000000000004</v>
      </c>
      <c r="W100" s="15">
        <f t="shared" si="92"/>
        <v>4900</v>
      </c>
      <c r="X100" s="15">
        <f>SUM(Q100:W100)</f>
        <v>872903</v>
      </c>
    </row>
    <row r="101" spans="1:23" ht="12.75">
      <c r="A101" t="s">
        <v>388</v>
      </c>
      <c r="B101" s="11">
        <v>1283</v>
      </c>
      <c r="C101" s="11">
        <v>167023</v>
      </c>
      <c r="D101" s="11">
        <f>C101*C$181/(C$181+C$182)</f>
        <v>93156.4913535569</v>
      </c>
      <c r="E101" s="12">
        <f t="shared" si="88"/>
        <v>18.72744497320381</v>
      </c>
      <c r="F101" s="22">
        <f t="shared" si="89"/>
        <v>72.60833308928831</v>
      </c>
      <c r="G101" s="13">
        <v>21</v>
      </c>
      <c r="H101" s="10">
        <f t="shared" si="90"/>
        <v>38.888888888888886</v>
      </c>
      <c r="I101" s="11">
        <f t="shared" si="81"/>
        <v>1244.111111111111</v>
      </c>
      <c r="J101" s="22">
        <f t="shared" si="82"/>
        <v>3.0310903264917295</v>
      </c>
      <c r="K101" s="22">
        <f t="shared" si="83"/>
        <v>72.60833308928831</v>
      </c>
      <c r="L101" s="22">
        <f t="shared" si="84"/>
        <v>72.60833308928831</v>
      </c>
      <c r="M101" s="11">
        <f t="shared" si="85"/>
        <v>2823.6573979167674</v>
      </c>
      <c r="N101" s="11">
        <f t="shared" si="86"/>
        <v>90332.83395564013</v>
      </c>
      <c r="O101" s="65">
        <f t="shared" si="87"/>
        <v>134.45987609127465</v>
      </c>
      <c r="P101" t="s">
        <v>6</v>
      </c>
      <c r="Q101" s="6">
        <f aca="true" t="shared" si="93" ref="Q101:W101">100*Q100/$X100</f>
        <v>31.053393103242865</v>
      </c>
      <c r="R101" s="6">
        <f t="shared" si="93"/>
        <v>27.65931609812316</v>
      </c>
      <c r="S101" s="6">
        <f t="shared" si="93"/>
        <v>19.13419933257189</v>
      </c>
      <c r="T101" s="6">
        <f t="shared" si="93"/>
        <v>12.627061655189635</v>
      </c>
      <c r="U101" s="6">
        <f t="shared" si="93"/>
        <v>6.398534545075455</v>
      </c>
      <c r="V101" s="6">
        <f t="shared" si="93"/>
        <v>2.5661499616795913</v>
      </c>
      <c r="W101" s="6">
        <f t="shared" si="93"/>
        <v>0.5613453041174106</v>
      </c>
    </row>
    <row r="102" spans="1:24" ht="12.75">
      <c r="A102" t="s">
        <v>389</v>
      </c>
      <c r="B102" s="11">
        <v>1357</v>
      </c>
      <c r="C102" s="11"/>
      <c r="D102" s="11">
        <f>C101*C$182/(C$181+C$182)</f>
        <v>73866.5086464431</v>
      </c>
      <c r="E102" s="12">
        <f t="shared" si="88"/>
        <v>14.849539263869325</v>
      </c>
      <c r="F102" s="22">
        <f t="shared" si="89"/>
        <v>54.43368360091606</v>
      </c>
      <c r="G102" s="13">
        <v>21</v>
      </c>
      <c r="H102" s="10">
        <f t="shared" si="90"/>
        <v>38.888888888888886</v>
      </c>
      <c r="I102" s="11">
        <f t="shared" si="81"/>
        <v>1318.111111111111</v>
      </c>
      <c r="J102" s="22">
        <f t="shared" si="82"/>
        <v>2.8657987390485546</v>
      </c>
      <c r="K102" s="22">
        <f t="shared" si="83"/>
        <v>54.43368360091606</v>
      </c>
      <c r="L102" s="22">
        <f t="shared" si="84"/>
        <v>54.43368360091606</v>
      </c>
      <c r="M102" s="11">
        <f t="shared" si="85"/>
        <v>2116.8654733689577</v>
      </c>
      <c r="N102" s="11">
        <f t="shared" si="86"/>
        <v>71749.64317307413</v>
      </c>
      <c r="O102" s="65">
        <f t="shared" si="87"/>
        <v>100.80311777947418</v>
      </c>
      <c r="P102" t="s">
        <v>460</v>
      </c>
      <c r="Q102" s="15">
        <f>Q98*Q104/100</f>
        <v>9457.846574759804</v>
      </c>
      <c r="R102" s="15">
        <f aca="true" t="shared" si="94" ref="R102:W102">R98*R104/100</f>
        <v>23016.76688982925</v>
      </c>
      <c r="S102" s="15">
        <f t="shared" si="94"/>
        <v>26341.923734905387</v>
      </c>
      <c r="T102" s="15">
        <f t="shared" si="94"/>
        <v>35050.61316411737</v>
      </c>
      <c r="U102" s="15">
        <f t="shared" si="94"/>
        <v>26648.738817673522</v>
      </c>
      <c r="V102" s="15">
        <f t="shared" si="94"/>
        <v>11413.21209609471</v>
      </c>
      <c r="W102" s="15">
        <f t="shared" si="94"/>
        <v>4233.721747654083</v>
      </c>
      <c r="X102" s="15">
        <f>SUM(Q102:W102)</f>
        <v>136162.82302503413</v>
      </c>
    </row>
    <row r="103" spans="1:24" ht="12.75">
      <c r="A103" t="s">
        <v>390</v>
      </c>
      <c r="B103" s="11">
        <v>1292</v>
      </c>
      <c r="C103" s="11">
        <v>110222</v>
      </c>
      <c r="D103" s="11">
        <f>C103*(C$183/(C$183+C$184)-0.04)</f>
        <v>57308.93026091631</v>
      </c>
      <c r="E103" s="12">
        <f t="shared" si="88"/>
        <v>11.520934530060595</v>
      </c>
      <c r="F103" s="22">
        <f t="shared" si="89"/>
        <v>44.356757167891885</v>
      </c>
      <c r="G103" s="13">
        <v>30</v>
      </c>
      <c r="H103" s="10">
        <f t="shared" si="90"/>
        <v>55.55555555555555</v>
      </c>
      <c r="I103" s="11">
        <f t="shared" si="81"/>
        <v>1236.4444444444443</v>
      </c>
      <c r="J103" s="22">
        <f t="shared" si="82"/>
        <v>4.299965600275197</v>
      </c>
      <c r="K103" s="22">
        <f t="shared" si="83"/>
        <v>44.356757167891885</v>
      </c>
      <c r="L103" s="22">
        <f t="shared" si="84"/>
        <v>44.356757167891885</v>
      </c>
      <c r="M103" s="11">
        <f t="shared" si="85"/>
        <v>2464.2642871051044</v>
      </c>
      <c r="N103" s="11">
        <f t="shared" si="86"/>
        <v>54844.66597381121</v>
      </c>
      <c r="O103" s="65">
        <f t="shared" si="87"/>
        <v>82.14214290350348</v>
      </c>
      <c r="P103" t="s">
        <v>405</v>
      </c>
      <c r="Q103" s="15">
        <f aca="true" t="shared" si="95" ref="Q103:W103">Q98-Q102</f>
        <v>259816.9626889784</v>
      </c>
      <c r="R103" s="15">
        <f t="shared" si="95"/>
        <v>214118.36017945057</v>
      </c>
      <c r="S103" s="15">
        <f t="shared" si="95"/>
        <v>135740.5533938089</v>
      </c>
      <c r="T103" s="15">
        <f t="shared" si="95"/>
        <v>68897.17198028222</v>
      </c>
      <c r="U103" s="15">
        <f t="shared" si="95"/>
        <v>24292.311270156333</v>
      </c>
      <c r="V103" s="15">
        <f t="shared" si="95"/>
        <v>8954.640032533858</v>
      </c>
      <c r="W103" s="15">
        <f t="shared" si="95"/>
        <v>-124.4907301441981</v>
      </c>
      <c r="X103" s="15">
        <f>SUM(Q103:W103)</f>
        <v>711695.5088150661</v>
      </c>
    </row>
    <row r="104" spans="1:24" ht="12.75">
      <c r="A104" t="s">
        <v>391</v>
      </c>
      <c r="B104" s="11">
        <v>1646</v>
      </c>
      <c r="C104" s="11"/>
      <c r="D104" s="11">
        <f>C103*(C$184/(C$183+C$184)+0.04)</f>
        <v>52913.06973908369</v>
      </c>
      <c r="E104" s="12">
        <f t="shared" si="88"/>
        <v>10.637225463345553</v>
      </c>
      <c r="F104" s="22">
        <f t="shared" si="89"/>
        <v>32.14645792167903</v>
      </c>
      <c r="G104" s="13">
        <v>64</v>
      </c>
      <c r="H104" s="10">
        <f t="shared" si="90"/>
        <v>118.5185185185185</v>
      </c>
      <c r="I104" s="11">
        <f t="shared" si="81"/>
        <v>1527.4814814814815</v>
      </c>
      <c r="J104" s="22">
        <f t="shared" si="82"/>
        <v>7.200396021781197</v>
      </c>
      <c r="K104" s="22">
        <f t="shared" si="83"/>
        <v>32.14645792167903</v>
      </c>
      <c r="L104" s="22">
        <f t="shared" si="84"/>
        <v>32.14645792167903</v>
      </c>
      <c r="M104" s="11">
        <f t="shared" si="85"/>
        <v>3809.950568495292</v>
      </c>
      <c r="N104" s="11">
        <f t="shared" si="86"/>
        <v>49103.11917058839</v>
      </c>
      <c r="O104" s="65">
        <f t="shared" si="87"/>
        <v>59.530477632738936</v>
      </c>
      <c r="P104" t="s">
        <v>461</v>
      </c>
      <c r="Q104" s="6">
        <f>100*Q107/(Q107+Q109)</f>
        <v>3.512339903097442</v>
      </c>
      <c r="R104" s="6">
        <f aca="true" t="shared" si="96" ref="R104:X104">100*R107/(R107+R109)</f>
        <v>9.706181945412425</v>
      </c>
      <c r="S104" s="6">
        <f t="shared" si="96"/>
        <v>16.252172475119888</v>
      </c>
      <c r="T104" s="6">
        <f t="shared" si="96"/>
        <v>33.719442040469296</v>
      </c>
      <c r="U104" s="6">
        <f t="shared" si="96"/>
        <v>52.312896518087435</v>
      </c>
      <c r="V104" s="6">
        <f t="shared" si="96"/>
        <v>56.03542299903371</v>
      </c>
      <c r="W104" s="6">
        <f t="shared" si="96"/>
        <v>103.02953836408149</v>
      </c>
      <c r="X104" s="6">
        <f t="shared" si="96"/>
        <v>28.384238038460104</v>
      </c>
    </row>
    <row r="105" spans="1:24" ht="12.75">
      <c r="A105" t="s">
        <v>392</v>
      </c>
      <c r="B105" s="11">
        <v>1347</v>
      </c>
      <c r="C105" s="11">
        <v>55853</v>
      </c>
      <c r="D105" s="11">
        <f>C105*C$185/(C$185+C$186)</f>
        <v>33133.39362192838</v>
      </c>
      <c r="E105" s="12">
        <f t="shared" si="88"/>
        <v>6.6608756600242405</v>
      </c>
      <c r="F105" s="22">
        <f t="shared" si="89"/>
        <v>24.59791657158751</v>
      </c>
      <c r="G105" s="13">
        <v>61</v>
      </c>
      <c r="H105" s="10">
        <f t="shared" si="90"/>
        <v>112.96296296296296</v>
      </c>
      <c r="I105" s="11">
        <f t="shared" si="81"/>
        <v>1234.037037037037</v>
      </c>
      <c r="J105" s="22">
        <f t="shared" si="82"/>
        <v>8.386263026203634</v>
      </c>
      <c r="K105" s="22">
        <f t="shared" si="83"/>
        <v>24.59791657158751</v>
      </c>
      <c r="L105" s="22">
        <f t="shared" si="84"/>
        <v>24.59791657158751</v>
      </c>
      <c r="M105" s="11">
        <f t="shared" si="85"/>
        <v>2778.653538642293</v>
      </c>
      <c r="N105" s="11">
        <f t="shared" si="86"/>
        <v>30354.740083286084</v>
      </c>
      <c r="O105" s="65">
        <f t="shared" si="87"/>
        <v>45.551697354791685</v>
      </c>
      <c r="P105" t="s">
        <v>463</v>
      </c>
      <c r="Q105" s="4">
        <f>H97+H98</f>
        <v>27.777777777777775</v>
      </c>
      <c r="R105" s="4">
        <f>H99+H100</f>
        <v>53.703703703703695</v>
      </c>
      <c r="S105" s="4">
        <f>H101+H102</f>
        <v>77.77777777777777</v>
      </c>
      <c r="T105" s="4">
        <f>H103+H104</f>
        <v>174.07407407407405</v>
      </c>
      <c r="U105" s="4">
        <f>H105+H106</f>
        <v>246.29629629629628</v>
      </c>
      <c r="V105" s="4">
        <f>H107+H108</f>
        <v>224.07407407407408</v>
      </c>
      <c r="W105" s="4">
        <f>H109</f>
        <v>148.14814814814815</v>
      </c>
      <c r="X105" s="15">
        <f>SUM(Q105:W105)</f>
        <v>951.8518518518518</v>
      </c>
    </row>
    <row r="106" spans="1:24" ht="12.75">
      <c r="A106" t="s">
        <v>393</v>
      </c>
      <c r="B106" s="11">
        <v>1420</v>
      </c>
      <c r="C106" s="11"/>
      <c r="D106" s="11">
        <f>C105*C$186/(C$185+C$186)</f>
        <v>22719.60637807162</v>
      </c>
      <c r="E106" s="12">
        <f t="shared" si="88"/>
        <v>4.567370153984882</v>
      </c>
      <c r="F106" s="22">
        <f t="shared" si="89"/>
        <v>15.999722801458889</v>
      </c>
      <c r="G106" s="13">
        <v>72</v>
      </c>
      <c r="H106" s="10">
        <f t="shared" si="90"/>
        <v>133.33333333333331</v>
      </c>
      <c r="I106" s="11">
        <f t="shared" si="81"/>
        <v>1286.6666666666667</v>
      </c>
      <c r="J106" s="22">
        <f t="shared" si="82"/>
        <v>9.389671361502346</v>
      </c>
      <c r="K106" s="22">
        <f t="shared" si="83"/>
        <v>15.999722801458889</v>
      </c>
      <c r="L106" s="22">
        <f t="shared" si="84"/>
        <v>15.999722801458889</v>
      </c>
      <c r="M106" s="11">
        <f t="shared" si="85"/>
        <v>2133.2963735278518</v>
      </c>
      <c r="N106" s="11">
        <f t="shared" si="86"/>
        <v>20586.31000454377</v>
      </c>
      <c r="O106" s="65">
        <f t="shared" si="87"/>
        <v>29.629116298997943</v>
      </c>
      <c r="P106" t="s">
        <v>6</v>
      </c>
      <c r="Q106" s="6">
        <f aca="true" t="shared" si="97" ref="Q106:X106">100*Q105/$X105</f>
        <v>2.91828793774319</v>
      </c>
      <c r="R106" s="6">
        <f t="shared" si="97"/>
        <v>5.642023346303501</v>
      </c>
      <c r="S106" s="6">
        <f t="shared" si="97"/>
        <v>8.171206225680933</v>
      </c>
      <c r="T106" s="6">
        <f t="shared" si="97"/>
        <v>18.28793774319066</v>
      </c>
      <c r="U106" s="6">
        <f t="shared" si="97"/>
        <v>25.875486381322954</v>
      </c>
      <c r="V106" s="6">
        <f t="shared" si="97"/>
        <v>23.540856031128406</v>
      </c>
      <c r="W106" s="6">
        <f t="shared" si="97"/>
        <v>15.564202334630352</v>
      </c>
      <c r="X106" s="6">
        <f t="shared" si="97"/>
        <v>100</v>
      </c>
    </row>
    <row r="107" spans="1:24" ht="12.75">
      <c r="A107" t="s">
        <v>394</v>
      </c>
      <c r="B107" s="11">
        <v>1288</v>
      </c>
      <c r="C107" s="11">
        <v>22400</v>
      </c>
      <c r="D107" s="11">
        <f>C107*C$187/(C$187+C$188)</f>
        <v>14819.693165969316</v>
      </c>
      <c r="E107" s="12">
        <f t="shared" si="88"/>
        <v>2.9792340206559107</v>
      </c>
      <c r="F107" s="22">
        <f t="shared" si="89"/>
        <v>11.505972954945122</v>
      </c>
      <c r="G107" s="13">
        <v>55</v>
      </c>
      <c r="H107" s="10">
        <f t="shared" si="90"/>
        <v>101.85185185185185</v>
      </c>
      <c r="I107" s="11">
        <f t="shared" si="81"/>
        <v>1186.1481481481483</v>
      </c>
      <c r="J107" s="22">
        <f t="shared" si="82"/>
        <v>7.907752472969864</v>
      </c>
      <c r="K107" s="22">
        <f t="shared" si="83"/>
        <v>11.505972954945122</v>
      </c>
      <c r="L107" s="22">
        <f t="shared" si="84"/>
        <v>11.505972954945122</v>
      </c>
      <c r="M107" s="11">
        <f t="shared" si="85"/>
        <v>1171.9046528184847</v>
      </c>
      <c r="N107" s="11">
        <f t="shared" si="86"/>
        <v>13647.788513150834</v>
      </c>
      <c r="O107" s="65">
        <f t="shared" si="87"/>
        <v>21.30735732397245</v>
      </c>
      <c r="P107" t="s">
        <v>464</v>
      </c>
      <c r="Q107" s="4">
        <f aca="true" t="shared" si="98" ref="Q107:W107">Q108*$X107/100</f>
        <v>148.72027669693037</v>
      </c>
      <c r="R107" s="4">
        <f t="shared" si="98"/>
        <v>287.5258682807321</v>
      </c>
      <c r="S107" s="4">
        <f t="shared" si="98"/>
        <v>416.416774751405</v>
      </c>
      <c r="T107" s="4">
        <f t="shared" si="98"/>
        <v>931.980400634097</v>
      </c>
      <c r="U107" s="4">
        <f t="shared" si="98"/>
        <v>1318.6531200461159</v>
      </c>
      <c r="V107" s="4">
        <f t="shared" si="98"/>
        <v>1199.6768986885718</v>
      </c>
      <c r="W107" s="4">
        <f t="shared" si="98"/>
        <v>793.1748090502955</v>
      </c>
      <c r="X107" s="15">
        <f>'Res1807-1913'!E60-EstateMultiplier18171902!X105</f>
        <v>5096.148148148148</v>
      </c>
    </row>
    <row r="108" spans="1:24" ht="12.75">
      <c r="A108" t="s">
        <v>395</v>
      </c>
      <c r="B108" s="11">
        <v>1077</v>
      </c>
      <c r="C108" s="11"/>
      <c r="D108" s="11">
        <f>C107*C$188/(C$187+C$188)</f>
        <v>7580.306834030684</v>
      </c>
      <c r="E108" s="12">
        <f t="shared" si="88"/>
        <v>1.523884992356897</v>
      </c>
      <c r="F108" s="22">
        <f t="shared" si="89"/>
        <v>7.038353606342325</v>
      </c>
      <c r="G108" s="13">
        <v>66</v>
      </c>
      <c r="H108" s="10">
        <f t="shared" si="90"/>
        <v>122.22222222222221</v>
      </c>
      <c r="I108" s="11">
        <f t="shared" si="81"/>
        <v>954.7777777777778</v>
      </c>
      <c r="J108" s="22">
        <f t="shared" si="82"/>
        <v>11.348395749509955</v>
      </c>
      <c r="K108" s="22">
        <f t="shared" si="83"/>
        <v>7.038353606342325</v>
      </c>
      <c r="L108" s="22">
        <f t="shared" si="84"/>
        <v>7.038353606342325</v>
      </c>
      <c r="M108" s="11">
        <f t="shared" si="85"/>
        <v>860.2432185529507</v>
      </c>
      <c r="N108" s="11">
        <f t="shared" si="86"/>
        <v>6720.063615477733</v>
      </c>
      <c r="O108" s="65">
        <f t="shared" si="87"/>
        <v>13.033988159893193</v>
      </c>
      <c r="P108" t="s">
        <v>6</v>
      </c>
      <c r="Q108" s="6">
        <f>Q106</f>
        <v>2.91828793774319</v>
      </c>
      <c r="R108" s="6">
        <f aca="true" t="shared" si="99" ref="R108:W108">R106</f>
        <v>5.642023346303501</v>
      </c>
      <c r="S108" s="6">
        <f t="shared" si="99"/>
        <v>8.171206225680933</v>
      </c>
      <c r="T108" s="6">
        <f t="shared" si="99"/>
        <v>18.28793774319066</v>
      </c>
      <c r="U108" s="6">
        <f t="shared" si="99"/>
        <v>25.875486381322954</v>
      </c>
      <c r="V108" s="6">
        <f t="shared" si="99"/>
        <v>23.540856031128406</v>
      </c>
      <c r="W108" s="6">
        <f t="shared" si="99"/>
        <v>15.564202334630352</v>
      </c>
      <c r="X108" s="6">
        <f>100*X107/$X107</f>
        <v>100</v>
      </c>
    </row>
    <row r="109" spans="1:24" ht="12.75">
      <c r="A109" t="s">
        <v>396</v>
      </c>
      <c r="B109" s="11">
        <v>918</v>
      </c>
      <c r="C109" s="11">
        <v>4900</v>
      </c>
      <c r="D109" s="11">
        <f>C109</f>
        <v>4900</v>
      </c>
      <c r="E109" s="12">
        <f t="shared" si="88"/>
        <v>0.9850572840965517</v>
      </c>
      <c r="F109" s="22">
        <f t="shared" si="89"/>
        <v>5.337690631808279</v>
      </c>
      <c r="G109" s="13">
        <v>80</v>
      </c>
      <c r="H109" s="10">
        <f t="shared" si="90"/>
        <v>148.14814814814815</v>
      </c>
      <c r="I109" s="11">
        <f t="shared" si="81"/>
        <v>769.8518518518518</v>
      </c>
      <c r="J109" s="22">
        <f t="shared" si="82"/>
        <v>16.138142499798274</v>
      </c>
      <c r="K109" s="22">
        <f t="shared" si="83"/>
        <v>5.337690631808279</v>
      </c>
      <c r="L109" s="22">
        <f t="shared" si="84"/>
        <v>5.337690631808279</v>
      </c>
      <c r="M109" s="11">
        <f t="shared" si="85"/>
        <v>790.7689824901154</v>
      </c>
      <c r="N109" s="11">
        <f t="shared" si="86"/>
        <v>4109.231017509885</v>
      </c>
      <c r="O109" s="65">
        <f t="shared" si="87"/>
        <v>9.884612281126442</v>
      </c>
      <c r="P109" t="s">
        <v>402</v>
      </c>
      <c r="Q109" s="15">
        <f>$B97+$B98-Q105-Q107</f>
        <v>4085.5019455252923</v>
      </c>
      <c r="R109" s="15">
        <f>$B99+$B100-R105-R107</f>
        <v>2674.7704280155644</v>
      </c>
      <c r="S109" s="15">
        <f>$B101+$B102-S105-S107</f>
        <v>2145.805447470817</v>
      </c>
      <c r="T109" s="15">
        <f>$B103+$B104-T105-T107</f>
        <v>1831.9455252918292</v>
      </c>
      <c r="U109" s="15">
        <f>$B105+$B106-U105-U107</f>
        <v>1202.050583657588</v>
      </c>
      <c r="V109" s="15">
        <f>$B107+$B108-V105-V107</f>
        <v>941.2490272373543</v>
      </c>
      <c r="W109" s="15">
        <f>$B109-W105-W107</f>
        <v>-23.322957198443646</v>
      </c>
      <c r="X109" s="15">
        <f>SUM(Q109:W109)</f>
        <v>12858.000000000002</v>
      </c>
    </row>
    <row r="110" spans="1:24" ht="12.75">
      <c r="A110" t="s">
        <v>18</v>
      </c>
      <c r="B110" s="11">
        <f>SUM(B97:B109)</f>
        <v>18906</v>
      </c>
      <c r="C110" s="11">
        <f>SUM(C97:C109)</f>
        <v>872903</v>
      </c>
      <c r="D110" s="11">
        <f>SUM(D97:D109)</f>
        <v>872903</v>
      </c>
      <c r="E110" s="12">
        <f t="shared" si="88"/>
        <v>175.48152213463925</v>
      </c>
      <c r="F110" s="22">
        <f t="shared" si="89"/>
        <v>46.17068655453295</v>
      </c>
      <c r="G110" s="11">
        <f>SUM(G97:G109)</f>
        <v>514</v>
      </c>
      <c r="H110" s="11">
        <f>SUM(H97:H109)</f>
        <v>951.8518518518517</v>
      </c>
      <c r="I110" s="11">
        <f>SUM(I97:I109)</f>
        <v>17954.148148148146</v>
      </c>
      <c r="J110" s="22">
        <f t="shared" si="82"/>
        <v>5.034654881264422</v>
      </c>
      <c r="K110" s="22">
        <f>M110/H110</f>
        <v>26.311519078493983</v>
      </c>
      <c r="L110" s="65">
        <f>N110/I110</f>
        <v>47.223534352285675</v>
      </c>
      <c r="M110" s="11">
        <f>SUM(M97:M109)</f>
        <v>25044.668159899826</v>
      </c>
      <c r="N110" s="11">
        <f>SUM(N97:N109)</f>
        <v>847858.3318401002</v>
      </c>
      <c r="O110" s="65">
        <f t="shared" si="87"/>
        <v>48.72503533054441</v>
      </c>
      <c r="P110" t="s">
        <v>6</v>
      </c>
      <c r="Q110" s="6">
        <f aca="true" t="shared" si="100" ref="Q110:X110">100*Q109/$X109</f>
        <v>31.774007975776108</v>
      </c>
      <c r="R110" s="6">
        <f t="shared" si="100"/>
        <v>20.802383170131936</v>
      </c>
      <c r="S110" s="6">
        <f t="shared" si="100"/>
        <v>16.688485359082414</v>
      </c>
      <c r="T110" s="6">
        <f t="shared" si="100"/>
        <v>14.247515362356735</v>
      </c>
      <c r="U110" s="6">
        <f t="shared" si="100"/>
        <v>9.348659073398567</v>
      </c>
      <c r="V110" s="6">
        <f t="shared" si="100"/>
        <v>7.320337744885318</v>
      </c>
      <c r="W110" s="6">
        <f t="shared" si="100"/>
        <v>-0.18138868563107516</v>
      </c>
      <c r="X110" s="6">
        <f t="shared" si="100"/>
        <v>100</v>
      </c>
    </row>
    <row r="111" spans="2:24" ht="12.75">
      <c r="B111" s="11"/>
      <c r="C111" s="11"/>
      <c r="D111" s="11"/>
      <c r="E111" s="12"/>
      <c r="F111" s="22"/>
      <c r="G111" s="11"/>
      <c r="H111" s="11"/>
      <c r="I111" s="11"/>
      <c r="J111" s="22"/>
      <c r="K111" s="22"/>
      <c r="L111" s="65"/>
      <c r="M111" s="11"/>
      <c r="N111" s="11"/>
      <c r="O111" s="65"/>
      <c r="Q111" s="6"/>
      <c r="R111" s="6"/>
      <c r="S111" s="6"/>
      <c r="T111" s="6"/>
      <c r="U111" s="6"/>
      <c r="V111" s="6"/>
      <c r="W111" s="6"/>
      <c r="X111" s="6"/>
    </row>
    <row r="112" spans="2:24" ht="12.75">
      <c r="B112" s="11"/>
      <c r="C112" s="11"/>
      <c r="D112" s="11"/>
      <c r="E112" s="12"/>
      <c r="F112" s="22"/>
      <c r="G112" s="11"/>
      <c r="H112" s="11"/>
      <c r="I112" s="11"/>
      <c r="J112" s="22"/>
      <c r="K112" s="22"/>
      <c r="L112" s="65"/>
      <c r="M112" s="11"/>
      <c r="N112" s="11"/>
      <c r="O112" s="65"/>
      <c r="Q112" s="6"/>
      <c r="R112" s="6"/>
      <c r="S112" s="6"/>
      <c r="T112" s="6"/>
      <c r="U112" s="6"/>
      <c r="V112" s="6"/>
      <c r="W112" s="6"/>
      <c r="X112" s="6"/>
    </row>
    <row r="115" spans="2:15" ht="12.75">
      <c r="B115" s="21"/>
      <c r="C115" s="21"/>
      <c r="D115" s="21"/>
      <c r="E115" s="21"/>
      <c r="F115" s="21"/>
      <c r="K115" s="69" t="s">
        <v>411</v>
      </c>
      <c r="L115" s="69"/>
      <c r="M115" s="69"/>
      <c r="N115" s="69"/>
      <c r="O115" s="69"/>
    </row>
    <row r="116" spans="1:23" ht="12.75">
      <c r="A116" s="64">
        <v>1867</v>
      </c>
      <c r="B116" t="s">
        <v>383</v>
      </c>
      <c r="C116" t="s">
        <v>468</v>
      </c>
      <c r="D116" t="s">
        <v>420</v>
      </c>
      <c r="E116" t="s">
        <v>6</v>
      </c>
      <c r="F116" t="s">
        <v>398</v>
      </c>
      <c r="G116" t="s">
        <v>421</v>
      </c>
      <c r="H116" t="s">
        <v>469</v>
      </c>
      <c r="I116" t="s">
        <v>422</v>
      </c>
      <c r="J116" t="s">
        <v>423</v>
      </c>
      <c r="K116" t="s">
        <v>425</v>
      </c>
      <c r="L116" t="s">
        <v>426</v>
      </c>
      <c r="M116" t="s">
        <v>427</v>
      </c>
      <c r="N116" t="s">
        <v>428</v>
      </c>
      <c r="O116" t="s">
        <v>425</v>
      </c>
      <c r="Q116" t="s">
        <v>364</v>
      </c>
      <c r="R116" t="s">
        <v>365</v>
      </c>
      <c r="S116" t="s">
        <v>366</v>
      </c>
      <c r="T116" t="s">
        <v>367</v>
      </c>
      <c r="U116" t="s">
        <v>368</v>
      </c>
      <c r="V116" t="s">
        <v>369</v>
      </c>
      <c r="W116" t="s">
        <v>0</v>
      </c>
    </row>
    <row r="117" spans="1:24" ht="12.75">
      <c r="A117" t="s">
        <v>384</v>
      </c>
      <c r="B117" s="11">
        <v>2033</v>
      </c>
      <c r="C117" s="11">
        <v>185887</v>
      </c>
      <c r="D117" s="11">
        <f>C117</f>
        <v>185887</v>
      </c>
      <c r="E117" s="12">
        <f>100*D117/D$30</f>
        <v>37.36925374874606</v>
      </c>
      <c r="F117" s="22">
        <f>D117/B117</f>
        <v>91.43482538121003</v>
      </c>
      <c r="G117" s="13">
        <v>14</v>
      </c>
      <c r="H117" s="10">
        <f>G117/0.5475</f>
        <v>25.570776255707763</v>
      </c>
      <c r="I117" s="11">
        <f aca="true" t="shared" si="101" ref="I117:I129">B117-H117</f>
        <v>2007.4292237442921</v>
      </c>
      <c r="J117" s="22">
        <f aca="true" t="shared" si="102" ref="J117:J130">100*H117/B117</f>
        <v>1.2577853544371749</v>
      </c>
      <c r="K117" s="22">
        <f aca="true" t="shared" si="103" ref="K117:K129">F117</f>
        <v>91.43482538121003</v>
      </c>
      <c r="L117" s="22">
        <f aca="true" t="shared" si="104" ref="L117:L129">F117</f>
        <v>91.43482538121003</v>
      </c>
      <c r="M117" s="11">
        <f aca="true" t="shared" si="105" ref="M117:M129">H117*K117</f>
        <v>2338.059461802631</v>
      </c>
      <c r="N117" s="11">
        <f aca="true" t="shared" si="106" ref="N117:N129">I117*L117</f>
        <v>183548.94053819735</v>
      </c>
      <c r="O117" s="65">
        <f aca="true" t="shared" si="107" ref="O117:O130">K117*H117/G117</f>
        <v>167.00424727161652</v>
      </c>
      <c r="P117" t="s">
        <v>436</v>
      </c>
      <c r="Q117" s="15">
        <f>$M117+$M118</f>
        <v>5136.343252982249</v>
      </c>
      <c r="R117" s="15">
        <f>$M119+$M120</f>
        <v>5657.036243261553</v>
      </c>
      <c r="S117" s="15">
        <f>$M121+$M122</f>
        <v>6564.28120681654</v>
      </c>
      <c r="T117" s="15">
        <f>$M123+$M124</f>
        <v>7424.653283702894</v>
      </c>
      <c r="U117" s="15">
        <f>$M125+$M126</f>
        <v>7608.364466444105</v>
      </c>
      <c r="V117" s="15">
        <f>$M127+$M128</f>
        <v>3293.98674935124</v>
      </c>
      <c r="W117" s="15">
        <f>$M129</f>
        <v>930.2411797174085</v>
      </c>
      <c r="X117" s="15">
        <f>SUM(Q117:W117)</f>
        <v>36614.906382275985</v>
      </c>
    </row>
    <row r="118" spans="1:24" ht="12.75">
      <c r="A118" t="s">
        <v>385</v>
      </c>
      <c r="B118" s="11">
        <v>2236</v>
      </c>
      <c r="C118" s="11">
        <v>201511</v>
      </c>
      <c r="D118" s="11">
        <f>C118</f>
        <v>201511</v>
      </c>
      <c r="E118" s="12">
        <f aca="true" t="shared" si="108" ref="E118:E129">100*D118/D$30</f>
        <v>40.510179260322495</v>
      </c>
      <c r="F118" s="22">
        <f aca="true" t="shared" si="109" ref="F118:F130">D118/B118</f>
        <v>90.12119856887298</v>
      </c>
      <c r="G118" s="13">
        <v>17</v>
      </c>
      <c r="H118" s="10">
        <f aca="true" t="shared" si="110" ref="H118:H129">G118/0.5475</f>
        <v>31.050228310502284</v>
      </c>
      <c r="I118" s="11">
        <f t="shared" si="101"/>
        <v>2204.9497716894975</v>
      </c>
      <c r="J118" s="22">
        <f t="shared" si="102"/>
        <v>1.3886506400045744</v>
      </c>
      <c r="K118" s="22">
        <f t="shared" si="103"/>
        <v>90.12119856887298</v>
      </c>
      <c r="L118" s="22">
        <f t="shared" si="104"/>
        <v>90.12119856887298</v>
      </c>
      <c r="M118" s="11">
        <f t="shared" si="105"/>
        <v>2798.2837911796178</v>
      </c>
      <c r="N118" s="11">
        <f t="shared" si="106"/>
        <v>198712.71620882035</v>
      </c>
      <c r="O118" s="65">
        <f t="shared" si="107"/>
        <v>164.60492889291868</v>
      </c>
      <c r="P118" t="s">
        <v>428</v>
      </c>
      <c r="Q118" s="15">
        <f>$N117+$N118</f>
        <v>382261.6567470177</v>
      </c>
      <c r="R118" s="15">
        <f>$N119+$N120</f>
        <v>357062.96375673846</v>
      </c>
      <c r="S118" s="15">
        <f>$N121+$N122</f>
        <v>259068.71879318348</v>
      </c>
      <c r="T118" s="15">
        <f>$N123+$N124</f>
        <v>152257.3467162971</v>
      </c>
      <c r="U118" s="15">
        <f>$N125+$N126</f>
        <v>84930.63553355589</v>
      </c>
      <c r="V118" s="15">
        <f>$N127+$N128</f>
        <v>32851.01325064876</v>
      </c>
      <c r="W118" s="15">
        <f>$N129</f>
        <v>6502.758820282591</v>
      </c>
      <c r="X118" s="15">
        <f>SUM(Q118:W118)</f>
        <v>1274935.0936177238</v>
      </c>
    </row>
    <row r="119" spans="1:23" ht="12.75">
      <c r="A119" t="s">
        <v>386</v>
      </c>
      <c r="B119" s="11">
        <v>2233</v>
      </c>
      <c r="C119" s="11">
        <v>362720</v>
      </c>
      <c r="D119" s="11">
        <f>C119*C$179/(C$179+C$180)</f>
        <v>187781.91220396635</v>
      </c>
      <c r="E119" s="12">
        <f t="shared" si="108"/>
        <v>37.75019192614208</v>
      </c>
      <c r="F119" s="22">
        <f t="shared" si="109"/>
        <v>84.09400456962219</v>
      </c>
      <c r="G119" s="13">
        <v>15</v>
      </c>
      <c r="H119" s="10">
        <f t="shared" si="110"/>
        <v>27.397260273972602</v>
      </c>
      <c r="I119" s="11">
        <f t="shared" si="101"/>
        <v>2205.6027397260273</v>
      </c>
      <c r="J119" s="22">
        <f t="shared" si="102"/>
        <v>1.2269261206436455</v>
      </c>
      <c r="K119" s="22">
        <f t="shared" si="103"/>
        <v>84.09400456962219</v>
      </c>
      <c r="L119" s="22">
        <f t="shared" si="104"/>
        <v>84.09400456962219</v>
      </c>
      <c r="M119" s="11">
        <f t="shared" si="105"/>
        <v>2303.9453306745804</v>
      </c>
      <c r="N119" s="11">
        <f t="shared" si="106"/>
        <v>185477.96687329176</v>
      </c>
      <c r="O119" s="65">
        <f t="shared" si="107"/>
        <v>153.59635537830536</v>
      </c>
      <c r="P119" t="s">
        <v>437</v>
      </c>
      <c r="Q119" s="3">
        <f aca="true" t="shared" si="111" ref="Q119:W119">Q117/(Q117+Q118)</f>
        <v>0.01325856936014706</v>
      </c>
      <c r="R119" s="3">
        <f t="shared" si="111"/>
        <v>0.015596151971938556</v>
      </c>
      <c r="S119" s="3">
        <f t="shared" si="111"/>
        <v>0.024711843810131046</v>
      </c>
      <c r="T119" s="3">
        <f t="shared" si="111"/>
        <v>0.04649649480657115</v>
      </c>
      <c r="U119" s="3">
        <f t="shared" si="111"/>
        <v>0.08221792397199133</v>
      </c>
      <c r="V119" s="3">
        <f t="shared" si="111"/>
        <v>0.09113257018539882</v>
      </c>
      <c r="W119" s="3">
        <f t="shared" si="111"/>
        <v>0.1251501654402541</v>
      </c>
    </row>
    <row r="120" spans="1:24" ht="12.75">
      <c r="A120" t="s">
        <v>387</v>
      </c>
      <c r="B120" s="11">
        <v>2287</v>
      </c>
      <c r="C120" s="11"/>
      <c r="D120" s="11">
        <f>C119*C$180/(C$179+C$180)</f>
        <v>174938.08779603365</v>
      </c>
      <c r="E120" s="12">
        <f t="shared" si="108"/>
        <v>35.16817094885817</v>
      </c>
      <c r="F120" s="22">
        <f t="shared" si="109"/>
        <v>76.49238644339032</v>
      </c>
      <c r="G120" s="13">
        <v>24</v>
      </c>
      <c r="H120" s="10">
        <f t="shared" si="110"/>
        <v>43.83561643835616</v>
      </c>
      <c r="I120" s="11">
        <f t="shared" si="101"/>
        <v>2243.1643835616437</v>
      </c>
      <c r="J120" s="22">
        <f t="shared" si="102"/>
        <v>1.9167300585201645</v>
      </c>
      <c r="K120" s="22">
        <f t="shared" si="103"/>
        <v>76.49238644339032</v>
      </c>
      <c r="L120" s="22">
        <f t="shared" si="104"/>
        <v>76.49238644339032</v>
      </c>
      <c r="M120" s="11">
        <f t="shared" si="105"/>
        <v>3353.0909125869725</v>
      </c>
      <c r="N120" s="11">
        <f t="shared" si="106"/>
        <v>171584.99688344667</v>
      </c>
      <c r="O120" s="65">
        <f t="shared" si="107"/>
        <v>139.71212135779052</v>
      </c>
      <c r="P120" t="s">
        <v>438</v>
      </c>
      <c r="Q120" s="15">
        <f>Q117+Q118</f>
        <v>387397.99999999994</v>
      </c>
      <c r="R120" s="15">
        <f aca="true" t="shared" si="112" ref="R120:W120">R117+R118</f>
        <v>362720</v>
      </c>
      <c r="S120" s="15">
        <f t="shared" si="112"/>
        <v>265633</v>
      </c>
      <c r="T120" s="15">
        <f t="shared" si="112"/>
        <v>159682</v>
      </c>
      <c r="U120" s="15">
        <f t="shared" si="112"/>
        <v>92539</v>
      </c>
      <c r="V120" s="15">
        <f t="shared" si="112"/>
        <v>36145</v>
      </c>
      <c r="W120" s="15">
        <f t="shared" si="112"/>
        <v>7432.999999999999</v>
      </c>
      <c r="X120" s="15">
        <f>SUM(Q120:W120)</f>
        <v>1311550</v>
      </c>
    </row>
    <row r="121" spans="1:23" ht="12.75">
      <c r="A121" t="s">
        <v>388</v>
      </c>
      <c r="B121" s="11">
        <v>2347</v>
      </c>
      <c r="C121" s="11">
        <v>265633</v>
      </c>
      <c r="D121" s="11">
        <f>C121*C$181/(C$181+C$182)</f>
        <v>148155.87235122937</v>
      </c>
      <c r="E121" s="12">
        <f t="shared" si="108"/>
        <v>29.78408596760355</v>
      </c>
      <c r="F121" s="22">
        <f t="shared" si="109"/>
        <v>63.12563798518507</v>
      </c>
      <c r="G121" s="13">
        <v>21</v>
      </c>
      <c r="H121" s="10">
        <f t="shared" si="110"/>
        <v>38.35616438356165</v>
      </c>
      <c r="I121" s="11">
        <f t="shared" si="101"/>
        <v>2308.6438356164385</v>
      </c>
      <c r="J121" s="22">
        <f t="shared" si="102"/>
        <v>1.6342635016430187</v>
      </c>
      <c r="K121" s="22">
        <f t="shared" si="103"/>
        <v>63.12563798518507</v>
      </c>
      <c r="L121" s="22">
        <f t="shared" si="104"/>
        <v>63.12563798518507</v>
      </c>
      <c r="M121" s="11">
        <f t="shared" si="105"/>
        <v>2421.257347376962</v>
      </c>
      <c r="N121" s="11">
        <f t="shared" si="106"/>
        <v>145734.6150038524</v>
      </c>
      <c r="O121" s="65">
        <f t="shared" si="107"/>
        <v>115.29796892271249</v>
      </c>
      <c r="P121" t="s">
        <v>6</v>
      </c>
      <c r="Q121" s="6">
        <f aca="true" t="shared" si="113" ref="Q121:W121">100*Q120/$X120</f>
        <v>29.537417559376305</v>
      </c>
      <c r="R121" s="6">
        <f t="shared" si="113"/>
        <v>27.65582707483512</v>
      </c>
      <c r="S121" s="6">
        <f t="shared" si="113"/>
        <v>20.253364339903168</v>
      </c>
      <c r="T121" s="6">
        <f t="shared" si="113"/>
        <v>12.175060043460029</v>
      </c>
      <c r="U121" s="6">
        <f t="shared" si="113"/>
        <v>7.055697457207121</v>
      </c>
      <c r="V121" s="6">
        <f t="shared" si="113"/>
        <v>2.75589950821547</v>
      </c>
      <c r="W121" s="6">
        <f t="shared" si="113"/>
        <v>0.5667340170027829</v>
      </c>
    </row>
    <row r="122" spans="1:24" ht="12.75">
      <c r="A122" t="s">
        <v>389</v>
      </c>
      <c r="B122" s="11">
        <v>2227</v>
      </c>
      <c r="C122" s="11"/>
      <c r="D122" s="11">
        <f>C121*C$182/(C$181+C$182)</f>
        <v>117477.12764877063</v>
      </c>
      <c r="E122" s="12">
        <f t="shared" si="108"/>
        <v>23.6166735316657</v>
      </c>
      <c r="F122" s="22">
        <f t="shared" si="109"/>
        <v>52.75129216379463</v>
      </c>
      <c r="G122" s="13">
        <v>43</v>
      </c>
      <c r="H122" s="10">
        <f t="shared" si="110"/>
        <v>78.53881278538813</v>
      </c>
      <c r="I122" s="11">
        <f t="shared" si="101"/>
        <v>2148.461187214612</v>
      </c>
      <c r="J122" s="22">
        <f t="shared" si="102"/>
        <v>3.526664247210962</v>
      </c>
      <c r="K122" s="22">
        <f t="shared" si="103"/>
        <v>52.75129216379463</v>
      </c>
      <c r="L122" s="22">
        <f t="shared" si="104"/>
        <v>52.75129216379463</v>
      </c>
      <c r="M122" s="11">
        <f t="shared" si="105"/>
        <v>4143.023859439579</v>
      </c>
      <c r="N122" s="11">
        <f t="shared" si="106"/>
        <v>113334.10378933107</v>
      </c>
      <c r="O122" s="65">
        <f t="shared" si="107"/>
        <v>96.3493920799902</v>
      </c>
      <c r="P122" t="s">
        <v>460</v>
      </c>
      <c r="Q122" s="15">
        <f>Q118*Q124/100</f>
        <v>24173.86335801002</v>
      </c>
      <c r="R122" s="15">
        <f aca="true" t="shared" si="114" ref="R122:W122">R118*R124/100</f>
        <v>26898.05082092808</v>
      </c>
      <c r="S122" s="15">
        <f t="shared" si="114"/>
        <v>31966.357618586637</v>
      </c>
      <c r="T122" s="15">
        <f t="shared" si="114"/>
        <v>35153.595342878834</v>
      </c>
      <c r="U122" s="15">
        <f t="shared" si="114"/>
        <v>35551.776001330145</v>
      </c>
      <c r="V122" s="15">
        <f t="shared" si="114"/>
        <v>15739.827794727447</v>
      </c>
      <c r="W122" s="15">
        <f t="shared" si="114"/>
        <v>4376.538510258129</v>
      </c>
      <c r="X122" s="15">
        <f>SUM(Q122:W122)</f>
        <v>173860.0094467193</v>
      </c>
    </row>
    <row r="123" spans="1:24" ht="12.75">
      <c r="A123" t="s">
        <v>390</v>
      </c>
      <c r="B123" s="11">
        <v>2108</v>
      </c>
      <c r="C123" s="11">
        <v>159682</v>
      </c>
      <c r="D123" s="11">
        <f>C123*(C$183/(C$183+C$184)-0.04)</f>
        <v>83025.20914085789</v>
      </c>
      <c r="E123" s="12">
        <f t="shared" si="108"/>
        <v>16.6907320464983</v>
      </c>
      <c r="F123" s="22">
        <f t="shared" si="109"/>
        <v>39.38577283721911</v>
      </c>
      <c r="G123" s="13">
        <v>49</v>
      </c>
      <c r="H123" s="10">
        <f t="shared" si="110"/>
        <v>89.49771689497717</v>
      </c>
      <c r="I123" s="11">
        <f t="shared" si="101"/>
        <v>2018.5022831050228</v>
      </c>
      <c r="J123" s="22">
        <f t="shared" si="102"/>
        <v>4.245622243594743</v>
      </c>
      <c r="K123" s="22">
        <f t="shared" si="103"/>
        <v>39.38577283721911</v>
      </c>
      <c r="L123" s="22">
        <f t="shared" si="104"/>
        <v>39.38577283721911</v>
      </c>
      <c r="M123" s="11">
        <f t="shared" si="105"/>
        <v>3524.9367470753177</v>
      </c>
      <c r="N123" s="11">
        <f t="shared" si="106"/>
        <v>79500.27239378256</v>
      </c>
      <c r="O123" s="65">
        <f t="shared" si="107"/>
        <v>71.93748463419016</v>
      </c>
      <c r="P123" t="s">
        <v>405</v>
      </c>
      <c r="Q123" s="15">
        <f aca="true" t="shared" si="115" ref="Q123:W123">Q118-Q122</f>
        <v>358087.7933890077</v>
      </c>
      <c r="R123" s="15">
        <f t="shared" si="115"/>
        <v>330164.9129358104</v>
      </c>
      <c r="S123" s="15">
        <f t="shared" si="115"/>
        <v>227102.36117459685</v>
      </c>
      <c r="T123" s="15">
        <f t="shared" si="115"/>
        <v>117103.75137341826</v>
      </c>
      <c r="U123" s="15">
        <f t="shared" si="115"/>
        <v>49378.859532225746</v>
      </c>
      <c r="V123" s="15">
        <f t="shared" si="115"/>
        <v>17111.18545592131</v>
      </c>
      <c r="W123" s="15">
        <f t="shared" si="115"/>
        <v>2126.2203100244624</v>
      </c>
      <c r="X123" s="15">
        <f>SUM(Q123:W123)</f>
        <v>1101075.0841710046</v>
      </c>
    </row>
    <row r="124" spans="1:24" ht="12.75">
      <c r="A124" t="s">
        <v>391</v>
      </c>
      <c r="B124" s="11">
        <v>2226</v>
      </c>
      <c r="C124" s="11"/>
      <c r="D124" s="11">
        <f>C123*(C$184/(C$183+C$184)+0.04)</f>
        <v>76656.7908591421</v>
      </c>
      <c r="E124" s="12">
        <f t="shared" si="108"/>
        <v>15.410475553319161</v>
      </c>
      <c r="F124" s="22">
        <f t="shared" si="109"/>
        <v>34.437012964574166</v>
      </c>
      <c r="G124" s="13">
        <v>62</v>
      </c>
      <c r="H124" s="10">
        <f t="shared" si="110"/>
        <v>113.2420091324201</v>
      </c>
      <c r="I124" s="11">
        <f t="shared" si="101"/>
        <v>2112.75799086758</v>
      </c>
      <c r="J124" s="22">
        <f t="shared" si="102"/>
        <v>5.087242099389941</v>
      </c>
      <c r="K124" s="22">
        <f t="shared" si="103"/>
        <v>34.437012964574166</v>
      </c>
      <c r="L124" s="22">
        <f t="shared" si="104"/>
        <v>34.437012964574166</v>
      </c>
      <c r="M124" s="11">
        <f t="shared" si="105"/>
        <v>3899.7165366275767</v>
      </c>
      <c r="N124" s="11">
        <f t="shared" si="106"/>
        <v>72757.07432251451</v>
      </c>
      <c r="O124" s="65">
        <f t="shared" si="107"/>
        <v>62.89865381657382</v>
      </c>
      <c r="P124" t="s">
        <v>461</v>
      </c>
      <c r="Q124" s="6">
        <f>100*Q127/(Q127+Q129)</f>
        <v>6.323904825748292</v>
      </c>
      <c r="R124" s="6">
        <f aca="true" t="shared" si="116" ref="R124:X124">100*R127/(R127+R129)</f>
        <v>7.533139404302181</v>
      </c>
      <c r="S124" s="6">
        <f t="shared" si="116"/>
        <v>12.338949205251453</v>
      </c>
      <c r="T124" s="6">
        <f t="shared" si="116"/>
        <v>23.08827527934067</v>
      </c>
      <c r="U124" s="6">
        <f t="shared" si="116"/>
        <v>41.859778604015894</v>
      </c>
      <c r="V124" s="6">
        <f t="shared" si="116"/>
        <v>47.91276200412665</v>
      </c>
      <c r="W124" s="6">
        <f t="shared" si="116"/>
        <v>67.30279610874354</v>
      </c>
      <c r="X124" s="6">
        <f t="shared" si="116"/>
        <v>24.72191369536413</v>
      </c>
    </row>
    <row r="125" spans="1:24" ht="12.75">
      <c r="A125" t="s">
        <v>392</v>
      </c>
      <c r="B125" s="11">
        <v>2224</v>
      </c>
      <c r="C125" s="11">
        <v>92539</v>
      </c>
      <c r="D125" s="11">
        <f>C125*C$185/(C$185+C$186)</f>
        <v>54896.44445919879</v>
      </c>
      <c r="E125" s="12">
        <f t="shared" si="108"/>
        <v>11.035947446027663</v>
      </c>
      <c r="F125" s="22">
        <f t="shared" si="109"/>
        <v>24.683653084172118</v>
      </c>
      <c r="G125" s="13">
        <v>102</v>
      </c>
      <c r="H125" s="10">
        <f t="shared" si="110"/>
        <v>186.3013698630137</v>
      </c>
      <c r="I125" s="11">
        <f t="shared" si="101"/>
        <v>2037.6986301369864</v>
      </c>
      <c r="J125" s="22">
        <f t="shared" si="102"/>
        <v>8.376860155711046</v>
      </c>
      <c r="K125" s="22">
        <f t="shared" si="103"/>
        <v>24.683653084172118</v>
      </c>
      <c r="L125" s="22">
        <f t="shared" si="104"/>
        <v>24.683653084172118</v>
      </c>
      <c r="M125" s="11">
        <f t="shared" si="105"/>
        <v>4598.598382804668</v>
      </c>
      <c r="N125" s="11">
        <f t="shared" si="106"/>
        <v>50297.846076394126</v>
      </c>
      <c r="O125" s="65">
        <f t="shared" si="107"/>
        <v>45.084297870634</v>
      </c>
      <c r="P125" t="s">
        <v>463</v>
      </c>
      <c r="Q125" s="4">
        <f>H117+H118</f>
        <v>56.62100456621005</v>
      </c>
      <c r="R125" s="4">
        <f>H119+H120</f>
        <v>71.23287671232876</v>
      </c>
      <c r="S125" s="4">
        <f>H121+H122</f>
        <v>116.89497716894978</v>
      </c>
      <c r="T125" s="4">
        <f>H123+H124</f>
        <v>202.73972602739727</v>
      </c>
      <c r="U125" s="4">
        <f>H125+H126</f>
        <v>396.34703196347033</v>
      </c>
      <c r="V125" s="4">
        <f>H127+H128</f>
        <v>359.81735159817356</v>
      </c>
      <c r="W125" s="4">
        <f>H129</f>
        <v>193.60730593607306</v>
      </c>
      <c r="X125" s="15">
        <f>SUM(Q125:W125)</f>
        <v>1397.2602739726028</v>
      </c>
    </row>
    <row r="126" spans="1:24" ht="12.75">
      <c r="A126" t="s">
        <v>393</v>
      </c>
      <c r="B126" s="11">
        <v>2627</v>
      </c>
      <c r="C126" s="11"/>
      <c r="D126" s="11">
        <f>C125*C$186/(C$185+C$186)</f>
        <v>37642.55554080121</v>
      </c>
      <c r="E126" s="12">
        <f t="shared" si="108"/>
        <v>7.567361944382703</v>
      </c>
      <c r="F126" s="22">
        <f t="shared" si="109"/>
        <v>14.329103746022538</v>
      </c>
      <c r="G126" s="13">
        <v>115</v>
      </c>
      <c r="H126" s="10">
        <f t="shared" si="110"/>
        <v>210.04566210045664</v>
      </c>
      <c r="I126" s="11">
        <f t="shared" si="101"/>
        <v>2416.954337899543</v>
      </c>
      <c r="J126" s="22">
        <f t="shared" si="102"/>
        <v>7.995647586618068</v>
      </c>
      <c r="K126" s="22">
        <f t="shared" si="103"/>
        <v>14.329103746022538</v>
      </c>
      <c r="L126" s="22">
        <f t="shared" si="104"/>
        <v>14.329103746022538</v>
      </c>
      <c r="M126" s="11">
        <f t="shared" si="105"/>
        <v>3009.7660836394375</v>
      </c>
      <c r="N126" s="11">
        <f t="shared" si="106"/>
        <v>34632.789457161765</v>
      </c>
      <c r="O126" s="65">
        <f t="shared" si="107"/>
        <v>26.171878988169023</v>
      </c>
      <c r="P126" t="s">
        <v>6</v>
      </c>
      <c r="Q126" s="6">
        <f aca="true" t="shared" si="117" ref="Q126:X126">100*Q125/$X125</f>
        <v>4.052287581699346</v>
      </c>
      <c r="R126" s="6">
        <f t="shared" si="117"/>
        <v>5.098039215686274</v>
      </c>
      <c r="S126" s="6">
        <f t="shared" si="117"/>
        <v>8.366013071895424</v>
      </c>
      <c r="T126" s="6">
        <f t="shared" si="117"/>
        <v>14.509803921568627</v>
      </c>
      <c r="U126" s="6">
        <f t="shared" si="117"/>
        <v>28.366013071895427</v>
      </c>
      <c r="V126" s="6">
        <f t="shared" si="117"/>
        <v>25.751633986928105</v>
      </c>
      <c r="W126" s="6">
        <f t="shared" si="117"/>
        <v>13.856209150326796</v>
      </c>
      <c r="X126" s="6">
        <f t="shared" si="117"/>
        <v>100</v>
      </c>
    </row>
    <row r="127" spans="1:24" ht="12.75">
      <c r="A127" t="s">
        <v>394</v>
      </c>
      <c r="B127" s="11">
        <v>2257</v>
      </c>
      <c r="C127" s="11">
        <v>36145</v>
      </c>
      <c r="D127" s="11">
        <f>C127*C$187/(C$187+C$188)</f>
        <v>23913.295066248258</v>
      </c>
      <c r="E127" s="12">
        <f t="shared" si="108"/>
        <v>4.8073398962771385</v>
      </c>
      <c r="F127" s="22">
        <f t="shared" si="109"/>
        <v>10.59516839443875</v>
      </c>
      <c r="G127" s="13">
        <v>106</v>
      </c>
      <c r="H127" s="10">
        <f t="shared" si="110"/>
        <v>193.60730593607306</v>
      </c>
      <c r="I127" s="11">
        <f t="shared" si="101"/>
        <v>2063.392694063927</v>
      </c>
      <c r="J127" s="22">
        <f t="shared" si="102"/>
        <v>8.578081787154323</v>
      </c>
      <c r="K127" s="22">
        <f t="shared" si="103"/>
        <v>10.59516839443875</v>
      </c>
      <c r="L127" s="22">
        <f t="shared" si="104"/>
        <v>10.59516839443875</v>
      </c>
      <c r="M127" s="11">
        <f t="shared" si="105"/>
        <v>2051.302008786315</v>
      </c>
      <c r="N127" s="11">
        <f t="shared" si="106"/>
        <v>21861.993057461943</v>
      </c>
      <c r="O127" s="65">
        <f t="shared" si="107"/>
        <v>19.351905743267125</v>
      </c>
      <c r="P127" t="s">
        <v>464</v>
      </c>
      <c r="Q127" s="4">
        <f aca="true" t="shared" si="118" ref="Q127:W127">Q128*$X127/100</f>
        <v>266.38683857104485</v>
      </c>
      <c r="R127" s="4">
        <f t="shared" si="118"/>
        <v>335.13182917002416</v>
      </c>
      <c r="S127" s="4">
        <f t="shared" si="118"/>
        <v>549.9599247918345</v>
      </c>
      <c r="T127" s="4">
        <f t="shared" si="118"/>
        <v>953.8367445608382</v>
      </c>
      <c r="U127" s="4">
        <f t="shared" si="118"/>
        <v>1864.7078699973142</v>
      </c>
      <c r="V127" s="4">
        <f t="shared" si="118"/>
        <v>1692.8453934998658</v>
      </c>
      <c r="W127" s="4">
        <f t="shared" si="118"/>
        <v>910.8711254364758</v>
      </c>
      <c r="X127" s="15">
        <f>'Res1807-1913'!E61-EstateMultiplier18171902!X125</f>
        <v>6573.739726027397</v>
      </c>
    </row>
    <row r="128" spans="1:24" ht="12.75">
      <c r="A128" t="s">
        <v>395</v>
      </c>
      <c r="B128" s="11">
        <v>1636</v>
      </c>
      <c r="C128" s="11"/>
      <c r="D128" s="11">
        <f>C127*C$188/(C$187+C$188)</f>
        <v>12231.704933751744</v>
      </c>
      <c r="E128" s="12">
        <f t="shared" si="108"/>
        <v>2.458965314675895</v>
      </c>
      <c r="F128" s="22">
        <f t="shared" si="109"/>
        <v>7.476592257794464</v>
      </c>
      <c r="G128" s="13">
        <v>91</v>
      </c>
      <c r="H128" s="10">
        <f t="shared" si="110"/>
        <v>166.21004566210047</v>
      </c>
      <c r="I128" s="11">
        <f t="shared" si="101"/>
        <v>1469.7899543378994</v>
      </c>
      <c r="J128" s="22">
        <f t="shared" si="102"/>
        <v>10.159538243404674</v>
      </c>
      <c r="K128" s="22">
        <f t="shared" si="103"/>
        <v>7.476592257794464</v>
      </c>
      <c r="L128" s="22">
        <f t="shared" si="104"/>
        <v>7.476592257794464</v>
      </c>
      <c r="M128" s="11">
        <f t="shared" si="105"/>
        <v>1242.6847405649248</v>
      </c>
      <c r="N128" s="11">
        <f t="shared" si="106"/>
        <v>10989.020193186818</v>
      </c>
      <c r="O128" s="65">
        <f t="shared" si="107"/>
        <v>13.655876269944228</v>
      </c>
      <c r="P128" t="s">
        <v>6</v>
      </c>
      <c r="Q128" s="6">
        <f>Q126</f>
        <v>4.052287581699346</v>
      </c>
      <c r="R128" s="6">
        <f aca="true" t="shared" si="119" ref="R128:W128">R126</f>
        <v>5.098039215686274</v>
      </c>
      <c r="S128" s="6">
        <f t="shared" si="119"/>
        <v>8.366013071895424</v>
      </c>
      <c r="T128" s="6">
        <f t="shared" si="119"/>
        <v>14.509803921568627</v>
      </c>
      <c r="U128" s="6">
        <f t="shared" si="119"/>
        <v>28.366013071895427</v>
      </c>
      <c r="V128" s="6">
        <f t="shared" si="119"/>
        <v>25.751633986928105</v>
      </c>
      <c r="W128" s="6">
        <f t="shared" si="119"/>
        <v>13.856209150326796</v>
      </c>
      <c r="X128" s="6">
        <f>100*X127/$X127</f>
        <v>100</v>
      </c>
    </row>
    <row r="129" spans="1:24" ht="12.75">
      <c r="A129" t="s">
        <v>396</v>
      </c>
      <c r="B129" s="11">
        <v>1547</v>
      </c>
      <c r="C129" s="11">
        <v>7433</v>
      </c>
      <c r="D129" s="11">
        <f>C129</f>
        <v>7433</v>
      </c>
      <c r="E129" s="12">
        <f t="shared" si="108"/>
        <v>1.4942715903448303</v>
      </c>
      <c r="F129" s="22">
        <f t="shared" si="109"/>
        <v>4.804783451842275</v>
      </c>
      <c r="G129" s="13">
        <v>106</v>
      </c>
      <c r="H129" s="10">
        <f t="shared" si="110"/>
        <v>193.60730593607306</v>
      </c>
      <c r="I129" s="11">
        <f t="shared" si="101"/>
        <v>1353.392694063927</v>
      </c>
      <c r="J129" s="22">
        <f t="shared" si="102"/>
        <v>12.515016544025409</v>
      </c>
      <c r="K129" s="22">
        <f t="shared" si="103"/>
        <v>4.804783451842275</v>
      </c>
      <c r="L129" s="22">
        <f t="shared" si="104"/>
        <v>4.804783451842275</v>
      </c>
      <c r="M129" s="11">
        <f t="shared" si="105"/>
        <v>930.2411797174085</v>
      </c>
      <c r="N129" s="11">
        <f t="shared" si="106"/>
        <v>6502.758820282591</v>
      </c>
      <c r="O129" s="65">
        <f t="shared" si="107"/>
        <v>8.775860186013288</v>
      </c>
      <c r="P129" t="s">
        <v>402</v>
      </c>
      <c r="Q129" s="15">
        <f>$B117+$B118-Q125-Q127</f>
        <v>3945.992156862745</v>
      </c>
      <c r="R129" s="15">
        <f>$B119+$B120-R125-R127</f>
        <v>4113.6352941176465</v>
      </c>
      <c r="S129" s="15">
        <f>$B121+$B122-S125-S127</f>
        <v>3907.145098039216</v>
      </c>
      <c r="T129" s="15">
        <f>$B123+$B124-T125-T127</f>
        <v>3177.4235294117643</v>
      </c>
      <c r="U129" s="15">
        <f>$B125+$B126-U125-U127</f>
        <v>2589.945098039215</v>
      </c>
      <c r="V129" s="15">
        <f>$B127+$B128-V125-V127</f>
        <v>1840.3372549019607</v>
      </c>
      <c r="W129" s="15">
        <f>$B129-W125-W127</f>
        <v>442.5215686274511</v>
      </c>
      <c r="X129" s="15">
        <f>SUM(Q129:W129)</f>
        <v>20017</v>
      </c>
    </row>
    <row r="130" spans="1:24" ht="12.75">
      <c r="A130" t="s">
        <v>18</v>
      </c>
      <c r="B130" s="11">
        <f>SUM(B117:B129)</f>
        <v>27988</v>
      </c>
      <c r="C130" s="11">
        <f>SUM(C117:C129)</f>
        <v>1311550</v>
      </c>
      <c r="D130" s="11">
        <f>SUM(D117:D129)</f>
        <v>1311550</v>
      </c>
      <c r="E130" s="12">
        <f>100*D130/D130</f>
        <v>100</v>
      </c>
      <c r="F130" s="22">
        <f t="shared" si="109"/>
        <v>46.86115478062027</v>
      </c>
      <c r="G130" s="11">
        <f>SUM(G117:G129)</f>
        <v>765</v>
      </c>
      <c r="H130" s="11">
        <f>SUM(H117:H129)</f>
        <v>1397.2602739726028</v>
      </c>
      <c r="I130" s="11">
        <f>SUM(I117:I129)</f>
        <v>26590.7397260274</v>
      </c>
      <c r="J130" s="22">
        <f t="shared" si="102"/>
        <v>4.992354844835654</v>
      </c>
      <c r="K130" s="22">
        <f>M130/H130</f>
        <v>26.204785940256347</v>
      </c>
      <c r="L130" s="65">
        <f>N130/I130</f>
        <v>47.94658241003348</v>
      </c>
      <c r="M130" s="11">
        <f>SUM(M117:M129)</f>
        <v>36614.90638227599</v>
      </c>
      <c r="N130" s="11">
        <f>SUM(N117:N129)</f>
        <v>1274935.0936177238</v>
      </c>
      <c r="O130" s="65">
        <f t="shared" si="107"/>
        <v>47.862622721929405</v>
      </c>
      <c r="P130" t="s">
        <v>6</v>
      </c>
      <c r="Q130" s="6">
        <f aca="true" t="shared" si="120" ref="Q130:X130">100*Q129/$X129</f>
        <v>19.713204560437354</v>
      </c>
      <c r="R130" s="6">
        <f t="shared" si="120"/>
        <v>20.55070836847503</v>
      </c>
      <c r="S130" s="6">
        <f t="shared" si="120"/>
        <v>19.519134226103894</v>
      </c>
      <c r="T130" s="6">
        <f t="shared" si="120"/>
        <v>15.873625065752933</v>
      </c>
      <c r="U130" s="6">
        <f t="shared" si="120"/>
        <v>12.938727571760078</v>
      </c>
      <c r="V130" s="6">
        <f t="shared" si="120"/>
        <v>9.193871483748618</v>
      </c>
      <c r="W130" s="6">
        <f t="shared" si="120"/>
        <v>2.2107287237220916</v>
      </c>
      <c r="X130" s="6">
        <f t="shared" si="120"/>
        <v>100</v>
      </c>
    </row>
    <row r="135" spans="2:15" ht="12.75">
      <c r="B135" s="21"/>
      <c r="C135" s="21"/>
      <c r="D135" s="21"/>
      <c r="E135" s="21"/>
      <c r="F135" s="21"/>
      <c r="K135" s="69" t="s">
        <v>411</v>
      </c>
      <c r="L135" s="69"/>
      <c r="M135" s="69"/>
      <c r="N135" s="69"/>
      <c r="O135" s="69"/>
    </row>
    <row r="136" spans="1:23" ht="12.75">
      <c r="A136" s="64">
        <v>1877</v>
      </c>
      <c r="B136" t="s">
        <v>383</v>
      </c>
      <c r="C136" t="s">
        <v>478</v>
      </c>
      <c r="D136" t="s">
        <v>420</v>
      </c>
      <c r="E136" t="s">
        <v>6</v>
      </c>
      <c r="F136" t="s">
        <v>398</v>
      </c>
      <c r="G136" t="s">
        <v>421</v>
      </c>
      <c r="H136" t="s">
        <v>479</v>
      </c>
      <c r="I136" t="s">
        <v>422</v>
      </c>
      <c r="J136" t="s">
        <v>423</v>
      </c>
      <c r="K136" t="s">
        <v>425</v>
      </c>
      <c r="L136" t="s">
        <v>426</v>
      </c>
      <c r="M136" t="s">
        <v>427</v>
      </c>
      <c r="N136" t="s">
        <v>428</v>
      </c>
      <c r="O136" t="s">
        <v>425</v>
      </c>
      <c r="Q136" t="s">
        <v>364</v>
      </c>
      <c r="R136" t="s">
        <v>365</v>
      </c>
      <c r="S136" t="s">
        <v>366</v>
      </c>
      <c r="T136" t="s">
        <v>367</v>
      </c>
      <c r="U136" t="s">
        <v>368</v>
      </c>
      <c r="V136" t="s">
        <v>369</v>
      </c>
      <c r="W136" t="s">
        <v>0</v>
      </c>
    </row>
    <row r="137" spans="1:24" ht="12.75">
      <c r="A137" t="s">
        <v>384</v>
      </c>
      <c r="B137" s="11">
        <v>2060</v>
      </c>
      <c r="C137" s="11">
        <v>222221</v>
      </c>
      <c r="D137" s="11">
        <f>C137</f>
        <v>222221</v>
      </c>
      <c r="E137" s="12">
        <f>100*D137/D$30</f>
        <v>44.67355402637139</v>
      </c>
      <c r="F137" s="22">
        <f>D137/B137</f>
        <v>107.8742718446602</v>
      </c>
      <c r="G137" s="13">
        <v>15</v>
      </c>
      <c r="H137" s="10">
        <f>G137/0.6161</f>
        <v>24.346696964778445</v>
      </c>
      <c r="I137" s="11">
        <f aca="true" t="shared" si="121" ref="I137:I149">B137-H137</f>
        <v>2035.6533030352216</v>
      </c>
      <c r="J137" s="22">
        <f aca="true" t="shared" si="122" ref="J137:J150">100*H137/B137</f>
        <v>1.1818784934358468</v>
      </c>
      <c r="K137" s="22">
        <f aca="true" t="shared" si="123" ref="K137:K149">F137</f>
        <v>107.8742718446602</v>
      </c>
      <c r="L137" s="22">
        <f aca="true" t="shared" si="124" ref="L137:L149">F137</f>
        <v>107.8742718446602</v>
      </c>
      <c r="M137" s="11">
        <f aca="true" t="shared" si="125" ref="M137:M149">H137*K137</f>
        <v>2626.3822068980735</v>
      </c>
      <c r="N137" s="11">
        <f aca="true" t="shared" si="126" ref="N137:N149">I137*L137</f>
        <v>219594.61779310193</v>
      </c>
      <c r="O137" s="65">
        <f aca="true" t="shared" si="127" ref="O137:O150">K137*H137/G137</f>
        <v>175.09214712653824</v>
      </c>
      <c r="P137" t="s">
        <v>436</v>
      </c>
      <c r="Q137" s="15">
        <f>$M137+$M138</f>
        <v>4558.135117199209</v>
      </c>
      <c r="R137" s="15">
        <f>$M139+$M140</f>
        <v>5741.48757696255</v>
      </c>
      <c r="S137" s="15">
        <f>$M141+$M142</f>
        <v>7636.964732696419</v>
      </c>
      <c r="T137" s="15">
        <f>$M143+$M144</f>
        <v>8858.116864877127</v>
      </c>
      <c r="U137" s="15">
        <f>$M145+$M146</f>
        <v>7158.503276024692</v>
      </c>
      <c r="V137" s="15">
        <f>$M147+$M148</f>
        <v>3429.4624336308625</v>
      </c>
      <c r="W137" s="15">
        <f>$M149</f>
        <v>1122.3439541864232</v>
      </c>
      <c r="X137" s="15">
        <f>SUM(Q137:W137)</f>
        <v>38505.01395557728</v>
      </c>
    </row>
    <row r="138" spans="1:24" ht="12.75">
      <c r="A138" t="s">
        <v>385</v>
      </c>
      <c r="B138" s="11">
        <v>2190</v>
      </c>
      <c r="C138" s="11">
        <v>200495</v>
      </c>
      <c r="D138" s="11">
        <f>C138</f>
        <v>200495</v>
      </c>
      <c r="E138" s="12">
        <f aca="true" t="shared" si="128" ref="E138:E149">100*D138/D$30</f>
        <v>40.30593064794656</v>
      </c>
      <c r="F138" s="22">
        <f aca="true" t="shared" si="129" ref="F138:F150">D138/B138</f>
        <v>91.55022831050228</v>
      </c>
      <c r="G138" s="13">
        <v>13</v>
      </c>
      <c r="H138" s="10">
        <f aca="true" t="shared" si="130" ref="H138:H149">G138/0.6161</f>
        <v>21.100470702807986</v>
      </c>
      <c r="I138" s="11">
        <f t="shared" si="121"/>
        <v>2168.899529297192</v>
      </c>
      <c r="J138" s="22">
        <f t="shared" si="122"/>
        <v>0.9634918129136065</v>
      </c>
      <c r="K138" s="22">
        <f t="shared" si="123"/>
        <v>91.55022831050228</v>
      </c>
      <c r="L138" s="22">
        <f t="shared" si="124"/>
        <v>91.55022831050228</v>
      </c>
      <c r="M138" s="11">
        <f t="shared" si="125"/>
        <v>1931.7529103011354</v>
      </c>
      <c r="N138" s="11">
        <f t="shared" si="126"/>
        <v>198563.24708969888</v>
      </c>
      <c r="O138" s="65">
        <f t="shared" si="127"/>
        <v>148.59637771547196</v>
      </c>
      <c r="P138" t="s">
        <v>428</v>
      </c>
      <c r="Q138" s="15">
        <f>$N137+$N138</f>
        <v>418157.86488280084</v>
      </c>
      <c r="R138" s="15">
        <f>$N139+$N140</f>
        <v>365053.5124230375</v>
      </c>
      <c r="S138" s="15">
        <f>$N141+$N142</f>
        <v>285404.0352673036</v>
      </c>
      <c r="T138" s="15">
        <f>$N143+$N144</f>
        <v>179486.8831351229</v>
      </c>
      <c r="U138" s="15">
        <f>$N145+$N146</f>
        <v>88624.49672397532</v>
      </c>
      <c r="V138" s="15">
        <f>$N147+$N148</f>
        <v>33428.53756636914</v>
      </c>
      <c r="W138" s="15">
        <f>$N149</f>
        <v>6970.656045813578</v>
      </c>
      <c r="X138" s="15">
        <f>SUM(Q138:W138)</f>
        <v>1377125.986044423</v>
      </c>
    </row>
    <row r="139" spans="1:23" ht="12.75">
      <c r="A139" t="s">
        <v>386</v>
      </c>
      <c r="B139" s="11">
        <v>2248</v>
      </c>
      <c r="C139" s="11">
        <v>370795</v>
      </c>
      <c r="D139" s="11">
        <f>C139*C$179/(C$179+C$180)</f>
        <v>191962.37906834393</v>
      </c>
      <c r="E139" s="12">
        <f t="shared" si="128"/>
        <v>38.59059995383176</v>
      </c>
      <c r="F139" s="22">
        <f t="shared" si="129"/>
        <v>85.39251737915656</v>
      </c>
      <c r="G139" s="13">
        <v>24</v>
      </c>
      <c r="H139" s="10">
        <f t="shared" si="130"/>
        <v>38.954715143645515</v>
      </c>
      <c r="I139" s="11">
        <f t="shared" si="121"/>
        <v>2209.0452848563546</v>
      </c>
      <c r="J139" s="22">
        <f t="shared" si="122"/>
        <v>1.732860993934409</v>
      </c>
      <c r="K139" s="22">
        <f t="shared" si="123"/>
        <v>85.39251737915656</v>
      </c>
      <c r="L139" s="22">
        <f t="shared" si="124"/>
        <v>85.39251737915656</v>
      </c>
      <c r="M139" s="11">
        <f t="shared" si="125"/>
        <v>3326.4411899038428</v>
      </c>
      <c r="N139" s="11">
        <f t="shared" si="126"/>
        <v>188635.9378784401</v>
      </c>
      <c r="O139" s="65">
        <f t="shared" si="127"/>
        <v>138.60171624599346</v>
      </c>
      <c r="P139" t="s">
        <v>437</v>
      </c>
      <c r="Q139" s="3">
        <f aca="true" t="shared" si="131" ref="Q139:W139">Q137/(Q137+Q138)</f>
        <v>0.010782972769422517</v>
      </c>
      <c r="R139" s="3">
        <f t="shared" si="131"/>
        <v>0.015484263749410183</v>
      </c>
      <c r="S139" s="3">
        <f t="shared" si="131"/>
        <v>0.02606107927797277</v>
      </c>
      <c r="T139" s="3">
        <f t="shared" si="131"/>
        <v>0.047031335394500134</v>
      </c>
      <c r="U139" s="3">
        <f t="shared" si="131"/>
        <v>0.07473667849226576</v>
      </c>
      <c r="V139" s="3">
        <f t="shared" si="131"/>
        <v>0.09304526652642202</v>
      </c>
      <c r="W139" s="3">
        <f t="shared" si="131"/>
        <v>0.13868082962886727</v>
      </c>
    </row>
    <row r="140" spans="1:24" ht="12.75">
      <c r="A140" t="s">
        <v>387</v>
      </c>
      <c r="B140" s="11">
        <v>2524</v>
      </c>
      <c r="C140" s="11"/>
      <c r="D140" s="11">
        <f>C139*C$180/(C$179+C$180)</f>
        <v>178832.62093165607</v>
      </c>
      <c r="E140" s="12">
        <f t="shared" si="128"/>
        <v>35.95109711893985</v>
      </c>
      <c r="F140" s="22">
        <f t="shared" si="129"/>
        <v>70.85286090794615</v>
      </c>
      <c r="G140" s="13">
        <v>21</v>
      </c>
      <c r="H140" s="10">
        <f t="shared" si="130"/>
        <v>34.08537575068983</v>
      </c>
      <c r="I140" s="11">
        <f t="shared" si="121"/>
        <v>2489.9146242493102</v>
      </c>
      <c r="J140" s="22">
        <f t="shared" si="122"/>
        <v>1.3504507032761421</v>
      </c>
      <c r="K140" s="22">
        <f t="shared" si="123"/>
        <v>70.85286090794615</v>
      </c>
      <c r="L140" s="22">
        <f t="shared" si="124"/>
        <v>70.85286090794615</v>
      </c>
      <c r="M140" s="11">
        <f t="shared" si="125"/>
        <v>2415.046387058707</v>
      </c>
      <c r="N140" s="11">
        <f t="shared" si="126"/>
        <v>176417.5745445974</v>
      </c>
      <c r="O140" s="65">
        <f t="shared" si="127"/>
        <v>115.00220890755747</v>
      </c>
      <c r="P140" t="s">
        <v>438</v>
      </c>
      <c r="Q140" s="15">
        <f>Q137+Q138</f>
        <v>422716.00000000006</v>
      </c>
      <c r="R140" s="15">
        <f aca="true" t="shared" si="132" ref="R140:W140">R137+R138</f>
        <v>370795.00000000006</v>
      </c>
      <c r="S140" s="15">
        <f t="shared" si="132"/>
        <v>293041</v>
      </c>
      <c r="T140" s="15">
        <f t="shared" si="132"/>
        <v>188345</v>
      </c>
      <c r="U140" s="15">
        <f t="shared" si="132"/>
        <v>95783.00000000001</v>
      </c>
      <c r="V140" s="15">
        <f t="shared" si="132"/>
        <v>36858</v>
      </c>
      <c r="W140" s="15">
        <f t="shared" si="132"/>
        <v>8093.000000000002</v>
      </c>
      <c r="X140" s="15">
        <f>SUM(Q140:W140)</f>
        <v>1415631</v>
      </c>
    </row>
    <row r="141" spans="1:23" ht="12.75">
      <c r="A141" t="s">
        <v>388</v>
      </c>
      <c r="B141" s="11">
        <v>2362</v>
      </c>
      <c r="C141" s="11">
        <v>293041</v>
      </c>
      <c r="D141" s="11">
        <f>C141*C$181/(C$181+C$182)</f>
        <v>163442.5880431897</v>
      </c>
      <c r="E141" s="12">
        <f t="shared" si="128"/>
        <v>32.85720650684408</v>
      </c>
      <c r="F141" s="22">
        <f t="shared" si="129"/>
        <v>69.19669265164679</v>
      </c>
      <c r="G141" s="13">
        <v>34</v>
      </c>
      <c r="H141" s="10">
        <f t="shared" si="130"/>
        <v>55.18584645349781</v>
      </c>
      <c r="I141" s="11">
        <f t="shared" si="121"/>
        <v>2306.814153546502</v>
      </c>
      <c r="J141" s="22">
        <f t="shared" si="122"/>
        <v>2.336403321485936</v>
      </c>
      <c r="K141" s="22">
        <f t="shared" si="123"/>
        <v>69.19669265164679</v>
      </c>
      <c r="L141" s="22">
        <f t="shared" si="124"/>
        <v>69.19669265164679</v>
      </c>
      <c r="M141" s="11">
        <f t="shared" si="125"/>
        <v>3818.67805576366</v>
      </c>
      <c r="N141" s="11">
        <f t="shared" si="126"/>
        <v>159623.90998742604</v>
      </c>
      <c r="O141" s="65">
        <f t="shared" si="127"/>
        <v>112.31406046363705</v>
      </c>
      <c r="P141" t="s">
        <v>6</v>
      </c>
      <c r="Q141" s="6">
        <f aca="true" t="shared" si="133" ref="Q141:W141">100*Q140/$X140</f>
        <v>29.86060633032196</v>
      </c>
      <c r="R141" s="6">
        <f t="shared" si="133"/>
        <v>26.192913266239582</v>
      </c>
      <c r="S141" s="6">
        <f t="shared" si="133"/>
        <v>20.700380254458967</v>
      </c>
      <c r="T141" s="6">
        <f t="shared" si="133"/>
        <v>13.30466767116572</v>
      </c>
      <c r="U141" s="6">
        <f t="shared" si="133"/>
        <v>6.766099357812878</v>
      </c>
      <c r="V141" s="6">
        <f t="shared" si="133"/>
        <v>2.6036445938242383</v>
      </c>
      <c r="W141" s="6">
        <f t="shared" si="133"/>
        <v>0.5716885261766662</v>
      </c>
    </row>
    <row r="142" spans="1:24" ht="12.75">
      <c r="A142" t="s">
        <v>389</v>
      </c>
      <c r="B142" s="11">
        <v>2424</v>
      </c>
      <c r="C142" s="11"/>
      <c r="D142" s="11">
        <f>C141*C$182/(C$181+C$182)</f>
        <v>129598.41195681032</v>
      </c>
      <c r="E142" s="12">
        <f t="shared" si="128"/>
        <v>26.053440756204417</v>
      </c>
      <c r="F142" s="22">
        <f t="shared" si="129"/>
        <v>53.46469140132439</v>
      </c>
      <c r="G142" s="13">
        <v>44</v>
      </c>
      <c r="H142" s="10">
        <f t="shared" si="130"/>
        <v>71.4169777633501</v>
      </c>
      <c r="I142" s="11">
        <f t="shared" si="121"/>
        <v>2352.58302223665</v>
      </c>
      <c r="J142" s="22">
        <f t="shared" si="122"/>
        <v>2.9462449572339153</v>
      </c>
      <c r="K142" s="22">
        <f t="shared" si="123"/>
        <v>53.46469140132439</v>
      </c>
      <c r="L142" s="22">
        <f t="shared" si="124"/>
        <v>53.46469140132439</v>
      </c>
      <c r="M142" s="11">
        <f t="shared" si="125"/>
        <v>3818.2866769327593</v>
      </c>
      <c r="N142" s="11">
        <f t="shared" si="126"/>
        <v>125780.12527987755</v>
      </c>
      <c r="O142" s="65">
        <f t="shared" si="127"/>
        <v>86.7792426575627</v>
      </c>
      <c r="P142" t="s">
        <v>460</v>
      </c>
      <c r="Q142" s="15">
        <f>Q138*Q144/100</f>
        <v>21531.763345907355</v>
      </c>
      <c r="R142" s="15">
        <f aca="true" t="shared" si="134" ref="R142:W142">R138*R144/100</f>
        <v>27031.392365343036</v>
      </c>
      <c r="S142" s="15">
        <f t="shared" si="134"/>
        <v>36942.4837303457</v>
      </c>
      <c r="T142" s="15">
        <f t="shared" si="134"/>
        <v>42043.44592339907</v>
      </c>
      <c r="U142" s="15">
        <f t="shared" si="134"/>
        <v>34438.91482437464</v>
      </c>
      <c r="V142" s="15">
        <f t="shared" si="134"/>
        <v>16867.304336655252</v>
      </c>
      <c r="W142" s="15">
        <f t="shared" si="134"/>
        <v>5346.607351212229</v>
      </c>
      <c r="X142" s="15">
        <f>SUM(Q142:W142)</f>
        <v>184201.9118772373</v>
      </c>
    </row>
    <row r="143" spans="1:24" ht="12.75">
      <c r="A143" t="s">
        <v>390</v>
      </c>
      <c r="B143" s="11">
        <v>2514</v>
      </c>
      <c r="C143" s="11">
        <v>188345</v>
      </c>
      <c r="D143" s="11">
        <f>C143*(C$183/(C$183+C$184)-0.04)</f>
        <v>97928.276296858</v>
      </c>
      <c r="E143" s="12">
        <f t="shared" si="128"/>
        <v>19.686726915355035</v>
      </c>
      <c r="F143" s="22">
        <f t="shared" si="129"/>
        <v>38.95317275133572</v>
      </c>
      <c r="G143" s="13">
        <v>64</v>
      </c>
      <c r="H143" s="10">
        <f t="shared" si="130"/>
        <v>103.87924038305471</v>
      </c>
      <c r="I143" s="11">
        <f t="shared" si="121"/>
        <v>2410.120759616945</v>
      </c>
      <c r="J143" s="22">
        <f t="shared" si="122"/>
        <v>4.132030245944897</v>
      </c>
      <c r="K143" s="22">
        <f t="shared" si="123"/>
        <v>38.95317275133572</v>
      </c>
      <c r="L143" s="22">
        <f t="shared" si="124"/>
        <v>38.95317275133572</v>
      </c>
      <c r="M143" s="11">
        <f t="shared" si="125"/>
        <v>4046.4259959186597</v>
      </c>
      <c r="N143" s="11">
        <f t="shared" si="126"/>
        <v>93881.85030093933</v>
      </c>
      <c r="O143" s="65">
        <f t="shared" si="127"/>
        <v>63.22540618622906</v>
      </c>
      <c r="P143" t="s">
        <v>405</v>
      </c>
      <c r="Q143" s="15">
        <f aca="true" t="shared" si="135" ref="Q143:W143">Q138-Q142</f>
        <v>396626.1015368935</v>
      </c>
      <c r="R143" s="15">
        <f t="shared" si="135"/>
        <v>338022.12005769444</v>
      </c>
      <c r="S143" s="15">
        <f t="shared" si="135"/>
        <v>248461.55153695788</v>
      </c>
      <c r="T143" s="15">
        <f t="shared" si="135"/>
        <v>137443.43721172382</v>
      </c>
      <c r="U143" s="15">
        <f t="shared" si="135"/>
        <v>54185.58189960068</v>
      </c>
      <c r="V143" s="15">
        <f t="shared" si="135"/>
        <v>16561.233229713886</v>
      </c>
      <c r="W143" s="15">
        <f t="shared" si="135"/>
        <v>1624.0486946013489</v>
      </c>
      <c r="X143" s="15">
        <f>SUM(Q143:W143)</f>
        <v>1192924.0741671855</v>
      </c>
    </row>
    <row r="144" spans="1:24" ht="12.75">
      <c r="A144" t="s">
        <v>391</v>
      </c>
      <c r="B144" s="11">
        <v>2196</v>
      </c>
      <c r="C144" s="11"/>
      <c r="D144" s="11">
        <f>C143*(C$184/(C$183+C$184)+0.04)</f>
        <v>90416.723703142</v>
      </c>
      <c r="E144" s="12">
        <f t="shared" si="128"/>
        <v>18.176663732229667</v>
      </c>
      <c r="F144" s="22">
        <f t="shared" si="129"/>
        <v>41.173371449518214</v>
      </c>
      <c r="G144" s="13">
        <v>72</v>
      </c>
      <c r="H144" s="10">
        <f t="shared" si="130"/>
        <v>116.86414543093655</v>
      </c>
      <c r="I144" s="11">
        <f t="shared" si="121"/>
        <v>2079.1358545690637</v>
      </c>
      <c r="J144" s="22">
        <f t="shared" si="122"/>
        <v>5.321682396672885</v>
      </c>
      <c r="K144" s="22">
        <f t="shared" si="123"/>
        <v>41.173371449518214</v>
      </c>
      <c r="L144" s="22">
        <f t="shared" si="124"/>
        <v>41.173371449518214</v>
      </c>
      <c r="M144" s="11">
        <f t="shared" si="125"/>
        <v>4811.690868958467</v>
      </c>
      <c r="N144" s="11">
        <f t="shared" si="126"/>
        <v>85605.03283418354</v>
      </c>
      <c r="O144" s="65">
        <f t="shared" si="127"/>
        <v>66.82903984664537</v>
      </c>
      <c r="P144" t="s">
        <v>461</v>
      </c>
      <c r="Q144" s="6">
        <f>100*Q147/(Q147+Q149)</f>
        <v>5.149194874510411</v>
      </c>
      <c r="R144" s="6">
        <f aca="true" t="shared" si="136" ref="R144:X144">100*R147/(R147+R149)</f>
        <v>7.404775312507625</v>
      </c>
      <c r="S144" s="6">
        <f t="shared" si="136"/>
        <v>12.94392481022426</v>
      </c>
      <c r="T144" s="6">
        <f t="shared" si="136"/>
        <v>23.42424426176455</v>
      </c>
      <c r="U144" s="6">
        <f t="shared" si="136"/>
        <v>38.85936292720067</v>
      </c>
      <c r="V144" s="6">
        <f t="shared" si="136"/>
        <v>50.457799127966176</v>
      </c>
      <c r="W144" s="6">
        <f t="shared" si="136"/>
        <v>76.70163778089844</v>
      </c>
      <c r="X144" s="6">
        <f t="shared" si="136"/>
        <v>24.915065397787053</v>
      </c>
    </row>
    <row r="145" spans="1:24" ht="12.75">
      <c r="A145" t="s">
        <v>392</v>
      </c>
      <c r="B145" s="11">
        <v>2335</v>
      </c>
      <c r="C145" s="11">
        <v>95783</v>
      </c>
      <c r="D145" s="11">
        <f>C145*C$185/(C$185+C$186)</f>
        <v>56820.86622543401</v>
      </c>
      <c r="E145" s="12">
        <f t="shared" si="128"/>
        <v>11.422817992661125</v>
      </c>
      <c r="F145" s="22">
        <f t="shared" si="129"/>
        <v>24.33441808369765</v>
      </c>
      <c r="G145" s="13">
        <v>103</v>
      </c>
      <c r="H145" s="10">
        <f t="shared" si="130"/>
        <v>167.18065249147867</v>
      </c>
      <c r="I145" s="11">
        <f t="shared" si="121"/>
        <v>2167.8193475085213</v>
      </c>
      <c r="J145" s="22">
        <f t="shared" si="122"/>
        <v>7.159770984645768</v>
      </c>
      <c r="K145" s="22">
        <f t="shared" si="123"/>
        <v>24.33441808369765</v>
      </c>
      <c r="L145" s="22">
        <f t="shared" si="124"/>
        <v>24.33441808369765</v>
      </c>
      <c r="M145" s="11">
        <f t="shared" si="125"/>
        <v>4068.243893233011</v>
      </c>
      <c r="N145" s="11">
        <f t="shared" si="126"/>
        <v>52752.622332201</v>
      </c>
      <c r="O145" s="65">
        <f t="shared" si="127"/>
        <v>39.497513526534085</v>
      </c>
      <c r="P145" t="s">
        <v>463</v>
      </c>
      <c r="Q145" s="4">
        <f>H137+H138</f>
        <v>45.44716766758643</v>
      </c>
      <c r="R145" s="4">
        <f>H139+H140</f>
        <v>73.04009089433535</v>
      </c>
      <c r="S145" s="4">
        <f>H141+H142</f>
        <v>126.60282421684792</v>
      </c>
      <c r="T145" s="4">
        <f>H143+H144</f>
        <v>220.74338581399127</v>
      </c>
      <c r="U145" s="4">
        <f>H145+H146</f>
        <v>348.9693231618244</v>
      </c>
      <c r="V145" s="4">
        <f>H147+H148</f>
        <v>368.44668073364716</v>
      </c>
      <c r="W145" s="4">
        <f>H149</f>
        <v>246.71319590975492</v>
      </c>
      <c r="X145" s="15">
        <f>SUM(Q145:W145)</f>
        <v>1429.9626683979873</v>
      </c>
    </row>
    <row r="146" spans="1:24" ht="12.75">
      <c r="A146" t="s">
        <v>393</v>
      </c>
      <c r="B146" s="11">
        <v>2292</v>
      </c>
      <c r="C146" s="11"/>
      <c r="D146" s="11">
        <f>C145*C$186/(C$185+C$186)</f>
        <v>38962.13377456599</v>
      </c>
      <c r="E146" s="12">
        <f t="shared" si="128"/>
        <v>7.832639526240919</v>
      </c>
      <c r="F146" s="22">
        <f t="shared" si="129"/>
        <v>16.99918576551745</v>
      </c>
      <c r="G146" s="13">
        <v>112</v>
      </c>
      <c r="H146" s="10">
        <f t="shared" si="130"/>
        <v>181.78867067034574</v>
      </c>
      <c r="I146" s="11">
        <f t="shared" si="121"/>
        <v>2110.2113293296543</v>
      </c>
      <c r="J146" s="22">
        <f t="shared" si="122"/>
        <v>7.931442873924334</v>
      </c>
      <c r="K146" s="22">
        <f t="shared" si="123"/>
        <v>16.99918576551745</v>
      </c>
      <c r="L146" s="22">
        <f t="shared" si="124"/>
        <v>16.99918576551745</v>
      </c>
      <c r="M146" s="11">
        <f t="shared" si="125"/>
        <v>3090.2593827916808</v>
      </c>
      <c r="N146" s="11">
        <f t="shared" si="126"/>
        <v>35871.87439177431</v>
      </c>
      <c r="O146" s="65">
        <f t="shared" si="127"/>
        <v>27.591601632068578</v>
      </c>
      <c r="P146" t="s">
        <v>6</v>
      </c>
      <c r="Q146" s="6">
        <f aca="true" t="shared" si="137" ref="Q146:X146">100*Q145/$X145</f>
        <v>3.1782065834279227</v>
      </c>
      <c r="R146" s="6">
        <f t="shared" si="137"/>
        <v>5.1078320090805915</v>
      </c>
      <c r="S146" s="6">
        <f t="shared" si="137"/>
        <v>8.853575482406356</v>
      </c>
      <c r="T146" s="6">
        <f t="shared" si="137"/>
        <v>15.437003405221342</v>
      </c>
      <c r="U146" s="6">
        <f t="shared" si="137"/>
        <v>24.404086265607265</v>
      </c>
      <c r="V146" s="6">
        <f t="shared" si="137"/>
        <v>25.76617480136209</v>
      </c>
      <c r="W146" s="6">
        <f t="shared" si="137"/>
        <v>17.25312145289444</v>
      </c>
      <c r="X146" s="6">
        <f t="shared" si="137"/>
        <v>99.99999999999999</v>
      </c>
    </row>
    <row r="147" spans="1:24" ht="12.75">
      <c r="A147" t="s">
        <v>394</v>
      </c>
      <c r="B147" s="11">
        <v>2010</v>
      </c>
      <c r="C147" s="11">
        <v>36858</v>
      </c>
      <c r="D147" s="11">
        <f>C147*C$187/(C$187+C$188)</f>
        <v>24385.01119246862</v>
      </c>
      <c r="E147" s="12">
        <f t="shared" si="128"/>
        <v>4.902169979166766</v>
      </c>
      <c r="F147" s="22">
        <f t="shared" si="129"/>
        <v>12.13184636441225</v>
      </c>
      <c r="G147" s="13">
        <v>107</v>
      </c>
      <c r="H147" s="10">
        <f t="shared" si="130"/>
        <v>173.6731050154196</v>
      </c>
      <c r="I147" s="11">
        <f t="shared" si="121"/>
        <v>1836.3268949845803</v>
      </c>
      <c r="J147" s="22">
        <f t="shared" si="122"/>
        <v>8.64045298584177</v>
      </c>
      <c r="K147" s="22">
        <f t="shared" si="123"/>
        <v>12.13184636441225</v>
      </c>
      <c r="L147" s="22">
        <f t="shared" si="124"/>
        <v>12.13184636441225</v>
      </c>
      <c r="M147" s="11">
        <f t="shared" si="125"/>
        <v>2106.9754276775047</v>
      </c>
      <c r="N147" s="11">
        <f t="shared" si="126"/>
        <v>22278.035764791115</v>
      </c>
      <c r="O147" s="65">
        <f t="shared" si="127"/>
        <v>19.69135913717294</v>
      </c>
      <c r="P147" t="s">
        <v>464</v>
      </c>
      <c r="Q147" s="4">
        <f aca="true" t="shared" si="138" ref="Q147:W147">Q148*$X147/100</f>
        <v>216.50061893854294</v>
      </c>
      <c r="R147" s="4">
        <f t="shared" si="138"/>
        <v>347.947423294087</v>
      </c>
      <c r="S147" s="4">
        <f t="shared" si="138"/>
        <v>603.1088670430839</v>
      </c>
      <c r="T147" s="4">
        <f t="shared" si="138"/>
        <v>1051.5744348443516</v>
      </c>
      <c r="U147" s="4">
        <f t="shared" si="138"/>
        <v>1662.4154668495262</v>
      </c>
      <c r="V147" s="4">
        <f t="shared" si="138"/>
        <v>1755.2014463946161</v>
      </c>
      <c r="W147" s="4">
        <f t="shared" si="138"/>
        <v>1175.2890742378047</v>
      </c>
      <c r="X147" s="15">
        <f>'Res1807-1913'!E62-EstateMultiplier18171902!X145</f>
        <v>6812.037331602012</v>
      </c>
    </row>
    <row r="148" spans="1:24" ht="12.75">
      <c r="A148" t="s">
        <v>395</v>
      </c>
      <c r="B148" s="11">
        <v>1837</v>
      </c>
      <c r="C148" s="11"/>
      <c r="D148" s="11">
        <f>C147*C$188/(C$187+C$188)</f>
        <v>12472.988807531381</v>
      </c>
      <c r="E148" s="12">
        <f t="shared" si="128"/>
        <v>2.507471118227255</v>
      </c>
      <c r="F148" s="22">
        <f t="shared" si="129"/>
        <v>6.789868703065531</v>
      </c>
      <c r="G148" s="13">
        <v>120</v>
      </c>
      <c r="H148" s="10">
        <f t="shared" si="130"/>
        <v>194.77357571822756</v>
      </c>
      <c r="I148" s="11">
        <f t="shared" si="121"/>
        <v>1642.2264242817723</v>
      </c>
      <c r="J148" s="22">
        <f t="shared" si="122"/>
        <v>10.602807605782665</v>
      </c>
      <c r="K148" s="22">
        <f t="shared" si="123"/>
        <v>6.789868703065531</v>
      </c>
      <c r="L148" s="22">
        <f t="shared" si="124"/>
        <v>6.789868703065531</v>
      </c>
      <c r="M148" s="11">
        <f t="shared" si="125"/>
        <v>1322.4870059533578</v>
      </c>
      <c r="N148" s="11">
        <f t="shared" si="126"/>
        <v>11150.501801578022</v>
      </c>
      <c r="O148" s="65">
        <f t="shared" si="127"/>
        <v>11.020725049611315</v>
      </c>
      <c r="P148" t="s">
        <v>6</v>
      </c>
      <c r="Q148" s="6">
        <f>Q146</f>
        <v>3.1782065834279227</v>
      </c>
      <c r="R148" s="6">
        <f aca="true" t="shared" si="139" ref="R148:W148">R146</f>
        <v>5.1078320090805915</v>
      </c>
      <c r="S148" s="6">
        <f t="shared" si="139"/>
        <v>8.853575482406356</v>
      </c>
      <c r="T148" s="6">
        <f t="shared" si="139"/>
        <v>15.437003405221342</v>
      </c>
      <c r="U148" s="6">
        <f t="shared" si="139"/>
        <v>24.404086265607265</v>
      </c>
      <c r="V148" s="6">
        <f t="shared" si="139"/>
        <v>25.76617480136209</v>
      </c>
      <c r="W148" s="6">
        <f t="shared" si="139"/>
        <v>17.25312145289444</v>
      </c>
      <c r="X148" s="6">
        <f>100*X147/$X147</f>
        <v>100</v>
      </c>
    </row>
    <row r="149" spans="1:24" ht="12.75">
      <c r="A149" t="s">
        <v>396</v>
      </c>
      <c r="B149" s="11">
        <v>1779</v>
      </c>
      <c r="C149" s="11">
        <v>8093</v>
      </c>
      <c r="D149" s="11">
        <f>C149</f>
        <v>8093</v>
      </c>
      <c r="E149" s="12">
        <f t="shared" si="128"/>
        <v>1.626952775549672</v>
      </c>
      <c r="F149" s="22">
        <f t="shared" si="129"/>
        <v>4.5491849353569425</v>
      </c>
      <c r="G149" s="13">
        <v>152</v>
      </c>
      <c r="H149" s="10">
        <f t="shared" si="130"/>
        <v>246.71319590975492</v>
      </c>
      <c r="I149" s="11">
        <f t="shared" si="121"/>
        <v>1532.2868040902451</v>
      </c>
      <c r="J149" s="22">
        <f t="shared" si="122"/>
        <v>13.868082962886728</v>
      </c>
      <c r="K149" s="22">
        <f t="shared" si="123"/>
        <v>4.5491849353569425</v>
      </c>
      <c r="L149" s="22">
        <f t="shared" si="124"/>
        <v>4.5491849353569425</v>
      </c>
      <c r="M149" s="11">
        <f t="shared" si="125"/>
        <v>1122.3439541864232</v>
      </c>
      <c r="N149" s="11">
        <f t="shared" si="126"/>
        <v>6970.656045813578</v>
      </c>
      <c r="O149" s="65">
        <f t="shared" si="127"/>
        <v>7.383841803858047</v>
      </c>
      <c r="P149" t="s">
        <v>402</v>
      </c>
      <c r="Q149" s="15">
        <f>$B137+$B138-Q145-Q147</f>
        <v>3988.0522133938703</v>
      </c>
      <c r="R149" s="15">
        <f>$B139+$B140-R145-R147</f>
        <v>4351.012485811578</v>
      </c>
      <c r="S149" s="15">
        <f>$B141+$B142-S145-S147</f>
        <v>4056.2883087400683</v>
      </c>
      <c r="T149" s="15">
        <f>$B143+$B144-T145-T147</f>
        <v>3437.6821793416575</v>
      </c>
      <c r="U149" s="15">
        <f>$B145+$B146-U145-U147</f>
        <v>2615.61520998865</v>
      </c>
      <c r="V149" s="15">
        <f>$B147+$B148-V145-V147</f>
        <v>1723.3518728717368</v>
      </c>
      <c r="W149" s="15">
        <f>$B149-W145-W147</f>
        <v>356.99772985244044</v>
      </c>
      <c r="X149" s="15">
        <f>SUM(Q149:W149)</f>
        <v>20528.999999999996</v>
      </c>
    </row>
    <row r="150" spans="1:24" ht="12.75">
      <c r="A150" t="s">
        <v>18</v>
      </c>
      <c r="B150" s="11">
        <f>SUM(B137:B149)</f>
        <v>28771</v>
      </c>
      <c r="C150" s="11">
        <f>SUM(C137:C149)</f>
        <v>1415631</v>
      </c>
      <c r="D150" s="11">
        <f>SUM(D137:D149)</f>
        <v>1415631</v>
      </c>
      <c r="E150" s="12">
        <f>100*D150/D150</f>
        <v>100</v>
      </c>
      <c r="F150" s="22">
        <f t="shared" si="129"/>
        <v>49.203399256195475</v>
      </c>
      <c r="G150" s="11">
        <f>SUM(G137:G149)</f>
        <v>881</v>
      </c>
      <c r="H150" s="11">
        <f>SUM(H137:H149)</f>
        <v>1429.9626683979875</v>
      </c>
      <c r="I150" s="11">
        <f>SUM(I137:I149)</f>
        <v>27341.037331602012</v>
      </c>
      <c r="J150" s="22">
        <f t="shared" si="122"/>
        <v>4.970152821931762</v>
      </c>
      <c r="K150" s="22">
        <f>M150/H150</f>
        <v>26.927286149865104</v>
      </c>
      <c r="L150" s="65">
        <f>N150/I150</f>
        <v>50.368461494058906</v>
      </c>
      <c r="M150" s="11">
        <f>SUM(M137:M149)</f>
        <v>38505.01395557728</v>
      </c>
      <c r="N150" s="11">
        <f>SUM(N137:N149)</f>
        <v>1377125.986044423</v>
      </c>
      <c r="O150" s="65">
        <f t="shared" si="127"/>
        <v>43.70603173164277</v>
      </c>
      <c r="P150" t="s">
        <v>6</v>
      </c>
      <c r="Q150" s="6">
        <f aca="true" t="shared" si="140" ref="Q150:X150">100*Q149/$X149</f>
        <v>19.426431942100788</v>
      </c>
      <c r="R150" s="6">
        <f t="shared" si="140"/>
        <v>21.194468731119773</v>
      </c>
      <c r="S150" s="6">
        <f t="shared" si="140"/>
        <v>19.758820735252907</v>
      </c>
      <c r="T150" s="6">
        <f t="shared" si="140"/>
        <v>16.745492616988933</v>
      </c>
      <c r="U150" s="6">
        <f t="shared" si="140"/>
        <v>12.741074626083346</v>
      </c>
      <c r="V150" s="6">
        <f t="shared" si="140"/>
        <v>8.3947190456025</v>
      </c>
      <c r="W150" s="6">
        <f t="shared" si="140"/>
        <v>1.7389923028517733</v>
      </c>
      <c r="X150" s="6">
        <f t="shared" si="140"/>
        <v>100</v>
      </c>
    </row>
    <row r="155" spans="2:15" ht="12.75">
      <c r="B155" s="21"/>
      <c r="C155" s="21"/>
      <c r="D155" s="21"/>
      <c r="E155" s="21"/>
      <c r="F155" s="21"/>
      <c r="K155" s="69" t="s">
        <v>411</v>
      </c>
      <c r="L155" s="69"/>
      <c r="M155" s="69"/>
      <c r="N155" s="69"/>
      <c r="O155" s="69"/>
    </row>
    <row r="156" spans="1:23" ht="12.75">
      <c r="A156" s="64">
        <v>1887</v>
      </c>
      <c r="B156" t="s">
        <v>383</v>
      </c>
      <c r="C156" t="s">
        <v>481</v>
      </c>
      <c r="D156" t="s">
        <v>420</v>
      </c>
      <c r="E156" t="s">
        <v>6</v>
      </c>
      <c r="F156" t="s">
        <v>398</v>
      </c>
      <c r="G156" t="s">
        <v>421</v>
      </c>
      <c r="H156" t="s">
        <v>482</v>
      </c>
      <c r="I156" t="s">
        <v>422</v>
      </c>
      <c r="J156" t="s">
        <v>423</v>
      </c>
      <c r="K156" t="s">
        <v>425</v>
      </c>
      <c r="L156" t="s">
        <v>426</v>
      </c>
      <c r="M156" t="s">
        <v>427</v>
      </c>
      <c r="N156" t="s">
        <v>428</v>
      </c>
      <c r="O156" t="s">
        <v>425</v>
      </c>
      <c r="Q156" t="s">
        <v>364</v>
      </c>
      <c r="R156" t="s">
        <v>365</v>
      </c>
      <c r="S156" t="s">
        <v>366</v>
      </c>
      <c r="T156" t="s">
        <v>367</v>
      </c>
      <c r="U156" t="s">
        <v>368</v>
      </c>
      <c r="V156" t="s">
        <v>369</v>
      </c>
      <c r="W156" t="s">
        <v>0</v>
      </c>
    </row>
    <row r="157" spans="1:24" ht="12.75">
      <c r="A157" t="s">
        <v>384</v>
      </c>
      <c r="B157" s="11">
        <v>2374</v>
      </c>
      <c r="C157" s="11">
        <v>222980</v>
      </c>
      <c r="D157" s="11">
        <f>C157</f>
        <v>222980</v>
      </c>
      <c r="E157" s="12">
        <f>100*D157/D$30</f>
        <v>44.82613738935696</v>
      </c>
      <c r="F157" s="22">
        <f>D157/B157</f>
        <v>93.92586352148273</v>
      </c>
      <c r="G157" s="13">
        <v>14</v>
      </c>
      <c r="H157" s="10">
        <f>G157/0.6267</f>
        <v>22.33923727461305</v>
      </c>
      <c r="I157" s="11">
        <f aca="true" t="shared" si="141" ref="I157:I169">B157-H157</f>
        <v>2351.660762725387</v>
      </c>
      <c r="J157" s="22">
        <f aca="true" t="shared" si="142" ref="J157:J170">100*H157/B157</f>
        <v>0.9409956728986121</v>
      </c>
      <c r="K157" s="22">
        <f aca="true" t="shared" si="143" ref="K157:K169">F157</f>
        <v>93.92586352148273</v>
      </c>
      <c r="L157" s="22">
        <f aca="true" t="shared" si="144" ref="L157:L169">F157</f>
        <v>93.92586352148273</v>
      </c>
      <c r="M157" s="11">
        <f aca="true" t="shared" si="145" ref="M157:M169">H157*K157</f>
        <v>2098.2321514293253</v>
      </c>
      <c r="N157" s="11">
        <f aca="true" t="shared" si="146" ref="N157:N169">I157*L157</f>
        <v>220881.7678485707</v>
      </c>
      <c r="O157" s="65">
        <f aca="true" t="shared" si="147" ref="O157:O170">K157*H157/G157</f>
        <v>149.87372510209465</v>
      </c>
      <c r="P157" t="s">
        <v>436</v>
      </c>
      <c r="Q157" s="15">
        <f>$M157+$M158</f>
        <v>4372.200976609885</v>
      </c>
      <c r="R157" s="15">
        <f>$M159+$M160</f>
        <v>4652.186790255046</v>
      </c>
      <c r="S157" s="15">
        <f>$M161+$M162</f>
        <v>8392.012626320864</v>
      </c>
      <c r="T157" s="15">
        <f>$M163+$M164</f>
        <v>10468.697265264642</v>
      </c>
      <c r="U157" s="15">
        <f>$M165+$M166</f>
        <v>7902.215658227304</v>
      </c>
      <c r="V157" s="15">
        <f>$M167+$M168</f>
        <v>4985.931771164578</v>
      </c>
      <c r="W157" s="15">
        <f>$M169</f>
        <v>1764.904107986346</v>
      </c>
      <c r="X157" s="15">
        <f>SUM(Q157:W157)</f>
        <v>42538.149195828664</v>
      </c>
    </row>
    <row r="158" spans="1:24" ht="12.75">
      <c r="A158" t="s">
        <v>385</v>
      </c>
      <c r="B158" s="11">
        <v>2649</v>
      </c>
      <c r="C158" s="11">
        <v>251672</v>
      </c>
      <c r="D158" s="11">
        <f>C158</f>
        <v>251672</v>
      </c>
      <c r="E158" s="12">
        <f aca="true" t="shared" si="148" ref="E158:E169">100*D158/D$30</f>
        <v>50.59415036798926</v>
      </c>
      <c r="F158" s="22">
        <f aca="true" t="shared" si="149" ref="F158:F170">D158/B158</f>
        <v>95.0064175160438</v>
      </c>
      <c r="G158" s="13">
        <v>15</v>
      </c>
      <c r="H158" s="10">
        <f aca="true" t="shared" si="150" ref="H158:H169">G158/0.6267</f>
        <v>23.934897079942555</v>
      </c>
      <c r="I158" s="11">
        <f t="shared" si="141"/>
        <v>2625.0651029200576</v>
      </c>
      <c r="J158" s="22">
        <f t="shared" si="142"/>
        <v>0.9035446236293906</v>
      </c>
      <c r="K158" s="22">
        <f t="shared" si="143"/>
        <v>95.0064175160438</v>
      </c>
      <c r="L158" s="22">
        <f t="shared" si="144"/>
        <v>95.0064175160438</v>
      </c>
      <c r="M158" s="11">
        <f t="shared" si="145"/>
        <v>2273.96882518056</v>
      </c>
      <c r="N158" s="11">
        <f t="shared" si="146"/>
        <v>249398.03117481948</v>
      </c>
      <c r="O158" s="65">
        <f t="shared" si="147"/>
        <v>151.597921678704</v>
      </c>
      <c r="P158" t="s">
        <v>428</v>
      </c>
      <c r="Q158" s="15">
        <f>$N157+$N158</f>
        <v>470279.79902339017</v>
      </c>
      <c r="R158" s="15">
        <f>$N159+$N160</f>
        <v>428886.813209745</v>
      </c>
      <c r="S158" s="15">
        <f>$N161+$N162</f>
        <v>323038.9873736792</v>
      </c>
      <c r="T158" s="15">
        <f>$N163+$N164</f>
        <v>215299.30273473533</v>
      </c>
      <c r="U158" s="15">
        <f>$N165+$N166</f>
        <v>115941.78434177268</v>
      </c>
      <c r="V158" s="15">
        <f>$N167+$N168</f>
        <v>42855.06822883542</v>
      </c>
      <c r="W158" s="15">
        <f>$N169</f>
        <v>8276.095892013655</v>
      </c>
      <c r="X158" s="15">
        <f>SUM(Q158:W158)</f>
        <v>1604577.8508041718</v>
      </c>
    </row>
    <row r="159" spans="1:23" ht="12.75">
      <c r="A159" t="s">
        <v>386</v>
      </c>
      <c r="B159" s="11">
        <v>2709</v>
      </c>
      <c r="C159" s="11">
        <v>433539</v>
      </c>
      <c r="D159" s="11">
        <f>C159*C$179/(C$179+C$180)</f>
        <v>224445.25373565112</v>
      </c>
      <c r="E159" s="12">
        <f t="shared" si="148"/>
        <v>45.12070042310243</v>
      </c>
      <c r="F159" s="22">
        <f t="shared" si="149"/>
        <v>82.8516994225364</v>
      </c>
      <c r="G159" s="13">
        <v>15</v>
      </c>
      <c r="H159" s="10">
        <f t="shared" si="150"/>
        <v>23.934897079942555</v>
      </c>
      <c r="I159" s="11">
        <f t="shared" si="141"/>
        <v>2685.0651029200576</v>
      </c>
      <c r="J159" s="22">
        <f t="shared" si="142"/>
        <v>0.8835325610905337</v>
      </c>
      <c r="K159" s="22">
        <f t="shared" si="143"/>
        <v>82.8516994225364</v>
      </c>
      <c r="L159" s="22">
        <f t="shared" si="144"/>
        <v>82.8516994225364</v>
      </c>
      <c r="M159" s="11">
        <f t="shared" si="145"/>
        <v>1983.0468985767448</v>
      </c>
      <c r="N159" s="11">
        <f t="shared" si="146"/>
        <v>222462.20683707437</v>
      </c>
      <c r="O159" s="65">
        <f t="shared" si="147"/>
        <v>132.20312657178297</v>
      </c>
      <c r="P159" t="s">
        <v>437</v>
      </c>
      <c r="Q159" s="3">
        <f aca="true" t="shared" si="151" ref="Q159:W159">Q157/(Q157+Q158)</f>
        <v>0.009211382184442254</v>
      </c>
      <c r="R159" s="3">
        <f t="shared" si="151"/>
        <v>0.0107307227037361</v>
      </c>
      <c r="S159" s="3">
        <f t="shared" si="151"/>
        <v>0.025320542213374316</v>
      </c>
      <c r="T159" s="3">
        <f t="shared" si="151"/>
        <v>0.046369269627514274</v>
      </c>
      <c r="U159" s="3">
        <f t="shared" si="151"/>
        <v>0.06380781998504009</v>
      </c>
      <c r="V159" s="3">
        <f t="shared" si="151"/>
        <v>0.10421880335203232</v>
      </c>
      <c r="W159" s="3">
        <f t="shared" si="151"/>
        <v>0.17576975480393844</v>
      </c>
    </row>
    <row r="160" spans="1:24" ht="12.75">
      <c r="A160" t="s">
        <v>387</v>
      </c>
      <c r="B160" s="11">
        <v>2625</v>
      </c>
      <c r="C160" s="11"/>
      <c r="D160" s="11">
        <f>C159*C$180/(C$179+C$180)</f>
        <v>209093.74626434888</v>
      </c>
      <c r="E160" s="12">
        <f t="shared" si="148"/>
        <v>42.034554656476125</v>
      </c>
      <c r="F160" s="22">
        <f t="shared" si="149"/>
        <v>79.65476048165672</v>
      </c>
      <c r="G160" s="13">
        <v>21</v>
      </c>
      <c r="H160" s="10">
        <f t="shared" si="150"/>
        <v>33.508855911919575</v>
      </c>
      <c r="I160" s="11">
        <f t="shared" si="141"/>
        <v>2591.4911440880805</v>
      </c>
      <c r="J160" s="22">
        <f t="shared" si="142"/>
        <v>1.276527844263603</v>
      </c>
      <c r="K160" s="22">
        <f t="shared" si="143"/>
        <v>79.65476048165672</v>
      </c>
      <c r="L160" s="22">
        <f t="shared" si="144"/>
        <v>79.65476048165672</v>
      </c>
      <c r="M160" s="11">
        <f t="shared" si="145"/>
        <v>2669.1398916783005</v>
      </c>
      <c r="N160" s="11">
        <f t="shared" si="146"/>
        <v>206424.60637267062</v>
      </c>
      <c r="O160" s="65">
        <f t="shared" si="147"/>
        <v>127.1018996037286</v>
      </c>
      <c r="P160" t="s">
        <v>438</v>
      </c>
      <c r="Q160" s="15">
        <f>Q157+Q158</f>
        <v>474652.00000000006</v>
      </c>
      <c r="R160" s="15">
        <f aca="true" t="shared" si="152" ref="R160:W160">R157+R158</f>
        <v>433539.00000000006</v>
      </c>
      <c r="S160" s="15">
        <f t="shared" si="152"/>
        <v>331431.00000000006</v>
      </c>
      <c r="T160" s="15">
        <f t="shared" si="152"/>
        <v>225767.99999999997</v>
      </c>
      <c r="U160" s="15">
        <f t="shared" si="152"/>
        <v>123843.99999999999</v>
      </c>
      <c r="V160" s="15">
        <f t="shared" si="152"/>
        <v>47841</v>
      </c>
      <c r="W160" s="15">
        <f t="shared" si="152"/>
        <v>10041</v>
      </c>
      <c r="X160" s="15">
        <f>SUM(Q160:W160)</f>
        <v>1647116.0000000002</v>
      </c>
    </row>
    <row r="161" spans="1:23" ht="12.75">
      <c r="A161" t="s">
        <v>388</v>
      </c>
      <c r="B161" s="11">
        <v>2855</v>
      </c>
      <c r="C161" s="11">
        <v>331431</v>
      </c>
      <c r="D161" s="11">
        <f>C161*C$181/(C$181+C$182)</f>
        <v>184854.47564587343</v>
      </c>
      <c r="E161" s="12">
        <f t="shared" si="148"/>
        <v>37.161683210778826</v>
      </c>
      <c r="F161" s="22">
        <f t="shared" si="149"/>
        <v>64.74762719645304</v>
      </c>
      <c r="G161" s="13">
        <v>34</v>
      </c>
      <c r="H161" s="10">
        <f t="shared" si="150"/>
        <v>54.252433381203126</v>
      </c>
      <c r="I161" s="11">
        <f t="shared" si="141"/>
        <v>2800.747566618797</v>
      </c>
      <c r="J161" s="22">
        <f t="shared" si="142"/>
        <v>1.9002603636148205</v>
      </c>
      <c r="K161" s="22">
        <f t="shared" si="143"/>
        <v>64.74762719645304</v>
      </c>
      <c r="L161" s="22">
        <f t="shared" si="144"/>
        <v>64.74762719645304</v>
      </c>
      <c r="M161" s="11">
        <f t="shared" si="145"/>
        <v>3512.716331066544</v>
      </c>
      <c r="N161" s="11">
        <f t="shared" si="146"/>
        <v>181341.7593148069</v>
      </c>
      <c r="O161" s="65">
        <f t="shared" si="147"/>
        <v>103.31518620783953</v>
      </c>
      <c r="P161" t="s">
        <v>6</v>
      </c>
      <c r="Q161" s="6">
        <f aca="true" t="shared" si="153" ref="Q161:W161">100*Q160/$X160</f>
        <v>28.817156775843355</v>
      </c>
      <c r="R161" s="6">
        <f t="shared" si="153"/>
        <v>26.321096996204275</v>
      </c>
      <c r="S161" s="6">
        <f t="shared" si="153"/>
        <v>20.121897911258227</v>
      </c>
      <c r="T161" s="6">
        <f t="shared" si="153"/>
        <v>13.70686703304442</v>
      </c>
      <c r="U161" s="6">
        <f t="shared" si="153"/>
        <v>7.518838988875098</v>
      </c>
      <c r="V161" s="6">
        <f t="shared" si="153"/>
        <v>2.9045313141272375</v>
      </c>
      <c r="W161" s="6">
        <f t="shared" si="153"/>
        <v>0.6096109806473861</v>
      </c>
    </row>
    <row r="162" spans="1:24" ht="12.75">
      <c r="A162" t="s">
        <v>389</v>
      </c>
      <c r="B162" s="11">
        <v>2924</v>
      </c>
      <c r="C162" s="11"/>
      <c r="D162" s="11">
        <f>C161*C$182/(C$181+C$182)</f>
        <v>146576.52435412657</v>
      </c>
      <c r="E162" s="12">
        <f t="shared" si="148"/>
        <v>29.466586325017957</v>
      </c>
      <c r="F162" s="22">
        <f t="shared" si="149"/>
        <v>50.12877029894889</v>
      </c>
      <c r="G162" s="13">
        <v>61</v>
      </c>
      <c r="H162" s="10">
        <f t="shared" si="150"/>
        <v>97.33524812509972</v>
      </c>
      <c r="I162" s="11">
        <f t="shared" si="141"/>
        <v>2826.6647518749005</v>
      </c>
      <c r="J162" s="22">
        <f t="shared" si="142"/>
        <v>3.328838855167569</v>
      </c>
      <c r="K162" s="22">
        <f t="shared" si="143"/>
        <v>50.12877029894889</v>
      </c>
      <c r="L162" s="22">
        <f t="shared" si="144"/>
        <v>50.12877029894889</v>
      </c>
      <c r="M162" s="11">
        <f t="shared" si="145"/>
        <v>4879.29629525432</v>
      </c>
      <c r="N162" s="11">
        <f t="shared" si="146"/>
        <v>141697.22805887225</v>
      </c>
      <c r="O162" s="65">
        <f t="shared" si="147"/>
        <v>79.9884638566282</v>
      </c>
      <c r="P162" t="s">
        <v>460</v>
      </c>
      <c r="Q162" s="15">
        <f>Q158*Q164/100</f>
        <v>20848.541539786627</v>
      </c>
      <c r="R162" s="15">
        <f aca="true" t="shared" si="154" ref="R162:W162">R158*R164/100</f>
        <v>22261.770368777285</v>
      </c>
      <c r="S162" s="15">
        <f t="shared" si="154"/>
        <v>41489.18321579651</v>
      </c>
      <c r="T162" s="15">
        <f t="shared" si="154"/>
        <v>50098.63061397514</v>
      </c>
      <c r="U162" s="15">
        <f t="shared" si="154"/>
        <v>38069.611911805274</v>
      </c>
      <c r="V162" s="15">
        <f t="shared" si="154"/>
        <v>24413.426191821018</v>
      </c>
      <c r="W162" s="15">
        <f t="shared" si="154"/>
        <v>8414.84043545141</v>
      </c>
      <c r="X162" s="15">
        <f>SUM(Q162:W162)</f>
        <v>205596.00427741327</v>
      </c>
    </row>
    <row r="163" spans="1:24" ht="12.75">
      <c r="A163" t="s">
        <v>390</v>
      </c>
      <c r="B163" s="11">
        <v>2851</v>
      </c>
      <c r="C163" s="11">
        <v>225768</v>
      </c>
      <c r="D163" s="11">
        <f>C163*(C$183/(C$183+C$184)-0.04)</f>
        <v>117386.02608505156</v>
      </c>
      <c r="E163" s="12">
        <f t="shared" si="148"/>
        <v>23.598359193107726</v>
      </c>
      <c r="F163" s="22">
        <f t="shared" si="149"/>
        <v>41.173632439513</v>
      </c>
      <c r="G163" s="13">
        <v>79</v>
      </c>
      <c r="H163" s="10">
        <f t="shared" si="150"/>
        <v>126.0571246210308</v>
      </c>
      <c r="I163" s="11">
        <f t="shared" si="141"/>
        <v>2724.9428753789693</v>
      </c>
      <c r="J163" s="22">
        <f t="shared" si="142"/>
        <v>4.42150559877344</v>
      </c>
      <c r="K163" s="22">
        <f t="shared" si="143"/>
        <v>41.173632439513</v>
      </c>
      <c r="L163" s="22">
        <f t="shared" si="144"/>
        <v>41.173632439513</v>
      </c>
      <c r="M163" s="11">
        <f t="shared" si="145"/>
        <v>5190.229715528207</v>
      </c>
      <c r="N163" s="11">
        <f t="shared" si="146"/>
        <v>112195.79636952336</v>
      </c>
      <c r="O163" s="65">
        <f t="shared" si="147"/>
        <v>65.69911032314185</v>
      </c>
      <c r="P163" t="s">
        <v>405</v>
      </c>
      <c r="Q163" s="15">
        <f aca="true" t="shared" si="155" ref="Q163:W163">Q158-Q162</f>
        <v>449431.25748360355</v>
      </c>
      <c r="R163" s="15">
        <f t="shared" si="155"/>
        <v>406625.0428409677</v>
      </c>
      <c r="S163" s="15">
        <f t="shared" si="155"/>
        <v>281549.8041578827</v>
      </c>
      <c r="T163" s="15">
        <f t="shared" si="155"/>
        <v>165200.6721207602</v>
      </c>
      <c r="U163" s="15">
        <f t="shared" si="155"/>
        <v>77872.17242996741</v>
      </c>
      <c r="V163" s="15">
        <f t="shared" si="155"/>
        <v>18441.642037014404</v>
      </c>
      <c r="W163" s="15">
        <f t="shared" si="155"/>
        <v>-138.74454343775506</v>
      </c>
      <c r="X163" s="15">
        <f>SUM(Q163:W163)</f>
        <v>1398981.8465267583</v>
      </c>
    </row>
    <row r="164" spans="1:24" ht="12.75">
      <c r="A164" t="s">
        <v>391</v>
      </c>
      <c r="B164" s="11">
        <v>3047</v>
      </c>
      <c r="C164" s="11"/>
      <c r="D164" s="11">
        <f>C163*(C$184/(C$183+C$184)+0.04)</f>
        <v>108381.97391494842</v>
      </c>
      <c r="E164" s="12">
        <f t="shared" si="148"/>
        <v>21.788255687690288</v>
      </c>
      <c r="F164" s="22">
        <f t="shared" si="149"/>
        <v>35.570060359352944</v>
      </c>
      <c r="G164" s="13">
        <v>93</v>
      </c>
      <c r="H164" s="10">
        <f t="shared" si="150"/>
        <v>148.39636189564385</v>
      </c>
      <c r="I164" s="11">
        <f t="shared" si="141"/>
        <v>2898.603638104356</v>
      </c>
      <c r="J164" s="22">
        <f t="shared" si="142"/>
        <v>4.870244893194744</v>
      </c>
      <c r="K164" s="22">
        <f t="shared" si="143"/>
        <v>35.570060359352944</v>
      </c>
      <c r="L164" s="22">
        <f t="shared" si="144"/>
        <v>35.570060359352944</v>
      </c>
      <c r="M164" s="11">
        <f t="shared" si="145"/>
        <v>5278.467549736435</v>
      </c>
      <c r="N164" s="11">
        <f t="shared" si="146"/>
        <v>103103.50636521197</v>
      </c>
      <c r="O164" s="65">
        <f t="shared" si="147"/>
        <v>56.75771558856382</v>
      </c>
      <c r="P164" t="s">
        <v>461</v>
      </c>
      <c r="Q164" s="6">
        <f>100*Q167/(Q167+Q169)</f>
        <v>4.43322073010193</v>
      </c>
      <c r="R164" s="6">
        <f aca="true" t="shared" si="156" ref="R164:X164">100*R167/(R167+R169)</f>
        <v>5.190593341439546</v>
      </c>
      <c r="S164" s="6">
        <f t="shared" si="156"/>
        <v>12.843398115226075</v>
      </c>
      <c r="T164" s="6">
        <f t="shared" si="156"/>
        <v>23.269295337988325</v>
      </c>
      <c r="U164" s="6">
        <f t="shared" si="156"/>
        <v>32.835109557727556</v>
      </c>
      <c r="V164" s="6">
        <f t="shared" si="156"/>
        <v>56.96741879270705</v>
      </c>
      <c r="W164" s="6">
        <f t="shared" si="156"/>
        <v>101.6764492007837</v>
      </c>
      <c r="X164" s="6">
        <f t="shared" si="156"/>
        <v>24.934727142298716</v>
      </c>
    </row>
    <row r="165" spans="1:24" ht="12.75">
      <c r="A165" t="s">
        <v>392</v>
      </c>
      <c r="B165" s="11">
        <v>2949</v>
      </c>
      <c r="C165" s="11">
        <v>123844</v>
      </c>
      <c r="D165" s="11">
        <f>C165*C$185/(C$185+C$186)</f>
        <v>73467.35179335215</v>
      </c>
      <c r="E165" s="12">
        <f t="shared" si="148"/>
        <v>14.76929592394396</v>
      </c>
      <c r="F165" s="22">
        <f t="shared" si="149"/>
        <v>24.912632008596862</v>
      </c>
      <c r="G165" s="13">
        <v>113</v>
      </c>
      <c r="H165" s="10">
        <f t="shared" si="150"/>
        <v>180.30955800223393</v>
      </c>
      <c r="I165" s="11">
        <f t="shared" si="141"/>
        <v>2768.690441997766</v>
      </c>
      <c r="J165" s="22">
        <f t="shared" si="142"/>
        <v>6.114261037715631</v>
      </c>
      <c r="K165" s="22">
        <f t="shared" si="143"/>
        <v>24.912632008596862</v>
      </c>
      <c r="L165" s="22">
        <f t="shared" si="144"/>
        <v>24.912632008596862</v>
      </c>
      <c r="M165" s="11">
        <f t="shared" si="145"/>
        <v>4491.9856661424055</v>
      </c>
      <c r="N165" s="11">
        <f t="shared" si="146"/>
        <v>68975.36612720974</v>
      </c>
      <c r="O165" s="65">
        <f t="shared" si="147"/>
        <v>39.75208554108323</v>
      </c>
      <c r="P165" t="s">
        <v>463</v>
      </c>
      <c r="Q165" s="4">
        <f>H157+H158</f>
        <v>46.274134354555606</v>
      </c>
      <c r="R165" s="4">
        <f>H159+H160</f>
        <v>57.44375299186213</v>
      </c>
      <c r="S165" s="4">
        <f>H161+H162</f>
        <v>151.58768150630286</v>
      </c>
      <c r="T165" s="4">
        <f>H163+H164</f>
        <v>274.4534865166746</v>
      </c>
      <c r="U165" s="4">
        <f>H165+H166</f>
        <v>381.3626934737514</v>
      </c>
      <c r="V165" s="4">
        <f>H167+H168</f>
        <v>483.48492101483964</v>
      </c>
      <c r="W165" s="4">
        <f>H169</f>
        <v>306.3666826232647</v>
      </c>
      <c r="X165" s="15">
        <f>SUM(Q165:W165)</f>
        <v>1700.973352481251</v>
      </c>
    </row>
    <row r="166" spans="1:24" ht="12.75">
      <c r="A166" t="s">
        <v>393</v>
      </c>
      <c r="B166" s="11">
        <v>2970</v>
      </c>
      <c r="C166" s="11"/>
      <c r="D166" s="11">
        <f>C165*C$186/(C$185+C$186)</f>
        <v>50376.64820664784</v>
      </c>
      <c r="E166" s="12">
        <f t="shared" si="148"/>
        <v>10.1273233192506</v>
      </c>
      <c r="F166" s="22">
        <f t="shared" si="149"/>
        <v>16.961834413012742</v>
      </c>
      <c r="G166" s="13">
        <v>126</v>
      </c>
      <c r="H166" s="10">
        <f t="shared" si="150"/>
        <v>201.05313547151746</v>
      </c>
      <c r="I166" s="11">
        <f t="shared" si="141"/>
        <v>2768.9468645284824</v>
      </c>
      <c r="J166" s="22">
        <f t="shared" si="142"/>
        <v>6.769465840791834</v>
      </c>
      <c r="K166" s="22">
        <f t="shared" si="143"/>
        <v>16.961834413012742</v>
      </c>
      <c r="L166" s="22">
        <f t="shared" si="144"/>
        <v>16.961834413012742</v>
      </c>
      <c r="M166" s="11">
        <f t="shared" si="145"/>
        <v>3410.2299920848977</v>
      </c>
      <c r="N166" s="11">
        <f t="shared" si="146"/>
        <v>46966.418214562946</v>
      </c>
      <c r="O166" s="65">
        <f t="shared" si="147"/>
        <v>27.06531739749919</v>
      </c>
      <c r="P166" t="s">
        <v>6</v>
      </c>
      <c r="Q166" s="6">
        <f aca="true" t="shared" si="157" ref="Q166:X166">100*Q165/$X165</f>
        <v>2.720450281425891</v>
      </c>
      <c r="R166" s="6">
        <f t="shared" si="157"/>
        <v>3.3771106941838647</v>
      </c>
      <c r="S166" s="6">
        <f t="shared" si="157"/>
        <v>8.911819887429644</v>
      </c>
      <c r="T166" s="6">
        <f t="shared" si="157"/>
        <v>16.135084427767353</v>
      </c>
      <c r="U166" s="6">
        <f t="shared" si="157"/>
        <v>22.420262664165104</v>
      </c>
      <c r="V166" s="6">
        <f t="shared" si="157"/>
        <v>28.424015009380863</v>
      </c>
      <c r="W166" s="6">
        <f t="shared" si="157"/>
        <v>18.01125703564728</v>
      </c>
      <c r="X166" s="6">
        <f t="shared" si="157"/>
        <v>99.99999999999999</v>
      </c>
    </row>
    <row r="167" spans="1:24" ht="12.75">
      <c r="A167" t="s">
        <v>394</v>
      </c>
      <c r="B167" s="11">
        <v>2599</v>
      </c>
      <c r="C167" s="11">
        <v>47841</v>
      </c>
      <c r="D167" s="11">
        <f>C167*C$187/(C$187+C$188)</f>
        <v>31651.29199790795</v>
      </c>
      <c r="E167" s="12">
        <f t="shared" si="148"/>
        <v>6.362925659919617</v>
      </c>
      <c r="F167" s="22">
        <f t="shared" si="149"/>
        <v>12.178257790653308</v>
      </c>
      <c r="G167" s="13">
        <v>154</v>
      </c>
      <c r="H167" s="10">
        <f t="shared" si="150"/>
        <v>245.73161002074357</v>
      </c>
      <c r="I167" s="11">
        <f t="shared" si="141"/>
        <v>2353.2683899792564</v>
      </c>
      <c r="J167" s="22">
        <f t="shared" si="142"/>
        <v>9.454852251663855</v>
      </c>
      <c r="K167" s="22">
        <f t="shared" si="143"/>
        <v>12.178257790653308</v>
      </c>
      <c r="L167" s="22">
        <f t="shared" si="144"/>
        <v>12.178257790653308</v>
      </c>
      <c r="M167" s="11">
        <f t="shared" si="145"/>
        <v>2992.582894144901</v>
      </c>
      <c r="N167" s="11">
        <f t="shared" si="146"/>
        <v>28658.70910376305</v>
      </c>
      <c r="O167" s="65">
        <f t="shared" si="147"/>
        <v>19.432356455486367</v>
      </c>
      <c r="P167" t="s">
        <v>464</v>
      </c>
      <c r="Q167" s="4">
        <f aca="true" t="shared" si="158" ref="Q167:W167">Q168*$X167/100</f>
        <v>220.62924275613855</v>
      </c>
      <c r="R167" s="4">
        <f t="shared" si="158"/>
        <v>273.8845772145168</v>
      </c>
      <c r="S167" s="4">
        <f t="shared" si="158"/>
        <v>722.7509676494195</v>
      </c>
      <c r="T167" s="4">
        <f t="shared" si="158"/>
        <v>1308.5596466915804</v>
      </c>
      <c r="U167" s="4">
        <f t="shared" si="158"/>
        <v>1818.2892765074869</v>
      </c>
      <c r="V167" s="4">
        <f t="shared" si="158"/>
        <v>2305.195191555517</v>
      </c>
      <c r="W167" s="4">
        <f t="shared" si="158"/>
        <v>1460.7177451440898</v>
      </c>
      <c r="X167" s="15">
        <f>'Res1807-1913'!E63-EstateMultiplier18171902!X165</f>
        <v>8110.026647518749</v>
      </c>
    </row>
    <row r="168" spans="1:24" ht="12.75">
      <c r="A168" t="s">
        <v>395</v>
      </c>
      <c r="B168" s="11">
        <v>1931</v>
      </c>
      <c r="C168" s="11"/>
      <c r="D168" s="11">
        <f>C167*C$188/(C$187+C$188)</f>
        <v>16189.70800209205</v>
      </c>
      <c r="E168" s="12">
        <f t="shared" si="148"/>
        <v>3.2546509785422457</v>
      </c>
      <c r="F168" s="22">
        <f t="shared" si="149"/>
        <v>8.384105645827058</v>
      </c>
      <c r="G168" s="13">
        <v>149</v>
      </c>
      <c r="H168" s="10">
        <f t="shared" si="150"/>
        <v>237.75331099409604</v>
      </c>
      <c r="I168" s="11">
        <f t="shared" si="141"/>
        <v>1693.246689005904</v>
      </c>
      <c r="J168" s="22">
        <f t="shared" si="142"/>
        <v>12.312444898710307</v>
      </c>
      <c r="K168" s="22">
        <f t="shared" si="143"/>
        <v>8.384105645827058</v>
      </c>
      <c r="L168" s="22">
        <f t="shared" si="144"/>
        <v>8.384105645827058</v>
      </c>
      <c r="M168" s="11">
        <f t="shared" si="145"/>
        <v>1993.3488770196768</v>
      </c>
      <c r="N168" s="11">
        <f t="shared" si="146"/>
        <v>14196.359125072371</v>
      </c>
      <c r="O168" s="65">
        <f t="shared" si="147"/>
        <v>13.378180382682395</v>
      </c>
      <c r="P168" t="s">
        <v>6</v>
      </c>
      <c r="Q168" s="6">
        <f>Q166</f>
        <v>2.720450281425891</v>
      </c>
      <c r="R168" s="6">
        <f aca="true" t="shared" si="159" ref="R168:W168">R166</f>
        <v>3.3771106941838647</v>
      </c>
      <c r="S168" s="6">
        <f t="shared" si="159"/>
        <v>8.911819887429644</v>
      </c>
      <c r="T168" s="6">
        <f t="shared" si="159"/>
        <v>16.135084427767353</v>
      </c>
      <c r="U168" s="6">
        <f t="shared" si="159"/>
        <v>22.420262664165104</v>
      </c>
      <c r="V168" s="6">
        <f t="shared" si="159"/>
        <v>28.424015009380863</v>
      </c>
      <c r="W168" s="6">
        <f t="shared" si="159"/>
        <v>18.01125703564728</v>
      </c>
      <c r="X168" s="6">
        <f>100*X167/$X167</f>
        <v>100</v>
      </c>
    </row>
    <row r="169" spans="1:24" ht="12.75">
      <c r="A169" t="s">
        <v>396</v>
      </c>
      <c r="B169" s="11">
        <v>1743</v>
      </c>
      <c r="C169" s="11">
        <v>10041</v>
      </c>
      <c r="D169" s="11">
        <f>C169</f>
        <v>10041</v>
      </c>
      <c r="E169" s="12">
        <f t="shared" si="148"/>
        <v>2.01856330400275</v>
      </c>
      <c r="F169" s="22">
        <f t="shared" si="149"/>
        <v>5.760757314974183</v>
      </c>
      <c r="G169" s="13">
        <v>192</v>
      </c>
      <c r="H169" s="10">
        <f t="shared" si="150"/>
        <v>306.3666826232647</v>
      </c>
      <c r="I169" s="11">
        <f t="shared" si="141"/>
        <v>1436.6333173767352</v>
      </c>
      <c r="J169" s="22">
        <f t="shared" si="142"/>
        <v>17.57697548039384</v>
      </c>
      <c r="K169" s="22">
        <f t="shared" si="143"/>
        <v>5.760757314974183</v>
      </c>
      <c r="L169" s="22">
        <f t="shared" si="144"/>
        <v>5.760757314974183</v>
      </c>
      <c r="M169" s="11">
        <f t="shared" si="145"/>
        <v>1764.904107986346</v>
      </c>
      <c r="N169" s="11">
        <f t="shared" si="146"/>
        <v>8276.095892013655</v>
      </c>
      <c r="O169" s="65">
        <f t="shared" si="147"/>
        <v>9.192208895762219</v>
      </c>
      <c r="P169" t="s">
        <v>402</v>
      </c>
      <c r="Q169" s="15">
        <f>$B157+$B158-Q165-Q167</f>
        <v>4756.096622889306</v>
      </c>
      <c r="R169" s="15">
        <f>$B159+$B160-R165-R167</f>
        <v>5002.671669793621</v>
      </c>
      <c r="S169" s="15">
        <f>$B161+$B162-S165-S167</f>
        <v>4904.661350844278</v>
      </c>
      <c r="T169" s="15">
        <f>$B163+$B164-T165-T167</f>
        <v>4314.986866791745</v>
      </c>
      <c r="U169" s="15">
        <f>$B165+$B166-U165-U167</f>
        <v>3719.348030018762</v>
      </c>
      <c r="V169" s="15">
        <f>$B167+$B168-V165-V167</f>
        <v>1741.3198874296436</v>
      </c>
      <c r="W169" s="15">
        <f>$B169-W165-W167</f>
        <v>-24.084427767354555</v>
      </c>
      <c r="X169" s="15">
        <f>SUM(Q169:W169)</f>
        <v>24415.000000000004</v>
      </c>
    </row>
    <row r="170" spans="1:24" ht="12.75">
      <c r="A170" t="s">
        <v>18</v>
      </c>
      <c r="B170" s="11">
        <f>SUM(B157:B169)</f>
        <v>34226</v>
      </c>
      <c r="C170" s="11">
        <f>SUM(C157:C169)</f>
        <v>1647116</v>
      </c>
      <c r="D170" s="11">
        <f>SUM(D157:D169)</f>
        <v>1647116</v>
      </c>
      <c r="E170" s="12">
        <f>100*D170/D170</f>
        <v>100</v>
      </c>
      <c r="F170" s="22">
        <f t="shared" si="149"/>
        <v>48.12470052007246</v>
      </c>
      <c r="G170" s="11">
        <f>SUM(G157:G169)</f>
        <v>1066</v>
      </c>
      <c r="H170" s="11">
        <f>SUM(H157:H169)</f>
        <v>1700.973352481251</v>
      </c>
      <c r="I170" s="11">
        <f>SUM(I157:I169)</f>
        <v>32525.02664751875</v>
      </c>
      <c r="J170" s="22">
        <f t="shared" si="142"/>
        <v>4.9698280619448685</v>
      </c>
      <c r="K170" s="22">
        <f>M170/H170</f>
        <v>25.008122045990454</v>
      </c>
      <c r="L170" s="65">
        <f>N170/I170</f>
        <v>49.33363677740694</v>
      </c>
      <c r="M170" s="11">
        <f>SUM(M157:M169)</f>
        <v>42538.149195828664</v>
      </c>
      <c r="N170" s="11">
        <f>SUM(N157:N169)</f>
        <v>1604577.8508041715</v>
      </c>
      <c r="O170" s="65">
        <f t="shared" si="147"/>
        <v>39.9044551555616</v>
      </c>
      <c r="P170" t="s">
        <v>6</v>
      </c>
      <c r="Q170" s="6">
        <f aca="true" t="shared" si="160" ref="Q170:X170">100*Q169/$X169</f>
        <v>19.480223726763484</v>
      </c>
      <c r="R170" s="6">
        <f t="shared" si="160"/>
        <v>20.49015633747131</v>
      </c>
      <c r="S170" s="6">
        <f t="shared" si="160"/>
        <v>20.08872148615309</v>
      </c>
      <c r="T170" s="6">
        <f t="shared" si="160"/>
        <v>17.673507543689308</v>
      </c>
      <c r="U170" s="6">
        <f t="shared" si="160"/>
        <v>15.233864550558106</v>
      </c>
      <c r="V170" s="6">
        <f t="shared" si="160"/>
        <v>7.132172383492294</v>
      </c>
      <c r="W170" s="6">
        <f t="shared" si="160"/>
        <v>-0.09864602812760415</v>
      </c>
      <c r="X170" s="6">
        <f t="shared" si="160"/>
        <v>100</v>
      </c>
    </row>
    <row r="175" spans="2:23" ht="12.75">
      <c r="B175" s="21"/>
      <c r="C175" s="21"/>
      <c r="D175" s="21"/>
      <c r="E175" s="21"/>
      <c r="F175" s="21"/>
      <c r="K175" s="69" t="s">
        <v>411</v>
      </c>
      <c r="L175" s="69"/>
      <c r="M175" s="69"/>
      <c r="N175" s="69"/>
      <c r="O175" s="69"/>
      <c r="Q175" t="s">
        <v>364</v>
      </c>
      <c r="R175" t="s">
        <v>365</v>
      </c>
      <c r="S175" t="s">
        <v>366</v>
      </c>
      <c r="T175" t="s">
        <v>367</v>
      </c>
      <c r="U175" t="s">
        <v>368</v>
      </c>
      <c r="V175" t="s">
        <v>369</v>
      </c>
      <c r="W175" t="s">
        <v>0</v>
      </c>
    </row>
    <row r="176" spans="1:24" ht="12.75">
      <c r="A176" s="64" t="s">
        <v>433</v>
      </c>
      <c r="B176" t="s">
        <v>383</v>
      </c>
      <c r="C176" t="s">
        <v>397</v>
      </c>
      <c r="D176" t="s">
        <v>397</v>
      </c>
      <c r="F176" t="s">
        <v>398</v>
      </c>
      <c r="G176" t="s">
        <v>401</v>
      </c>
      <c r="H176" t="s">
        <v>400</v>
      </c>
      <c r="I176" t="s">
        <v>402</v>
      </c>
      <c r="J176" t="s">
        <v>403</v>
      </c>
      <c r="K176" t="s">
        <v>406</v>
      </c>
      <c r="L176" t="s">
        <v>407</v>
      </c>
      <c r="M176" t="s">
        <v>404</v>
      </c>
      <c r="N176" t="s">
        <v>405</v>
      </c>
      <c r="O176" t="s">
        <v>406</v>
      </c>
      <c r="P176" t="s">
        <v>409</v>
      </c>
      <c r="Q176" s="15">
        <f>$M177+$M178</f>
        <v>100772.57878576766</v>
      </c>
      <c r="R176" s="15">
        <f>$M179+$M180</f>
        <v>105052.04119790353</v>
      </c>
      <c r="S176" s="15">
        <f>$M181+$M182</f>
        <v>97647.51473038894</v>
      </c>
      <c r="T176" s="15">
        <f>$M183+$M184</f>
        <v>69635.64295522291</v>
      </c>
      <c r="U176" s="15">
        <f>$M185+$M186</f>
        <v>41770.529654662416</v>
      </c>
      <c r="V176" s="15">
        <f>$M187+$M188</f>
        <v>18931.97512831696</v>
      </c>
      <c r="W176" s="15">
        <f>$M189</f>
        <v>3915.4196927751987</v>
      </c>
      <c r="X176" s="15">
        <f>SUM(Q176:W176)</f>
        <v>437725.7021450376</v>
      </c>
    </row>
    <row r="177" spans="1:24" ht="12.75">
      <c r="A177" t="s">
        <v>384</v>
      </c>
      <c r="B177" s="11">
        <v>1810</v>
      </c>
      <c r="C177" s="11">
        <v>265609</v>
      </c>
      <c r="D177" s="11">
        <f>C177</f>
        <v>265609</v>
      </c>
      <c r="E177" s="12">
        <f>100*D177/D$190</f>
        <v>13.76336519458231</v>
      </c>
      <c r="F177" s="22">
        <f>D177/B177</f>
        <v>146.74530386740332</v>
      </c>
      <c r="G177" s="13">
        <v>102</v>
      </c>
      <c r="H177" s="10">
        <f aca="true" t="shared" si="161" ref="H177:H189">G177/0.3826132</f>
        <v>266.5877706257913</v>
      </c>
      <c r="I177" s="11">
        <f aca="true" t="shared" si="162" ref="I177:I189">B177-H177</f>
        <v>1543.4122293742087</v>
      </c>
      <c r="J177" s="22">
        <f aca="true" t="shared" si="163" ref="J177:J190">100*H177/B177</f>
        <v>14.72860611192217</v>
      </c>
      <c r="K177" s="22">
        <f aca="true" t="shared" si="164" ref="K177:K189">F177</f>
        <v>146.74530386740332</v>
      </c>
      <c r="L177" s="22">
        <f aca="true" t="shared" si="165" ref="L177:L189">F177</f>
        <v>146.74530386740332</v>
      </c>
      <c r="M177" s="11">
        <f aca="true" t="shared" si="166" ref="M177:M189">H177*K177</f>
        <v>39120.50340781536</v>
      </c>
      <c r="N177" s="11">
        <f aca="true" t="shared" si="167" ref="N177:N189">I177*L177</f>
        <v>226488.49659218465</v>
      </c>
      <c r="O177" s="65">
        <f aca="true" t="shared" si="168" ref="O177:O190">K177*H177/G177</f>
        <v>383.5343471354447</v>
      </c>
      <c r="P177" t="s">
        <v>405</v>
      </c>
      <c r="Q177" s="15">
        <f>$N177+$N178</f>
        <v>464223.42121423234</v>
      </c>
      <c r="R177" s="15">
        <f>$N179+$N180</f>
        <v>411189.9588020965</v>
      </c>
      <c r="S177" s="15">
        <f>$N181+$N182</f>
        <v>290315.4852696111</v>
      </c>
      <c r="T177" s="15">
        <f>$N183+$N184</f>
        <v>179601.35704477708</v>
      </c>
      <c r="U177" s="15">
        <f>$N185+$N186</f>
        <v>101313.47034533758</v>
      </c>
      <c r="V177" s="15">
        <f>$N187+$N188</f>
        <v>38428.02487168304</v>
      </c>
      <c r="W177" s="15">
        <f>$N189</f>
        <v>7028.580307224802</v>
      </c>
      <c r="X177" s="15">
        <f>SUM(Q177:W177)</f>
        <v>1492100.2978549625</v>
      </c>
    </row>
    <row r="178" spans="1:23" ht="12.75">
      <c r="A178" t="s">
        <v>385</v>
      </c>
      <c r="B178" s="11">
        <v>2183</v>
      </c>
      <c r="C178" s="11">
        <v>299387</v>
      </c>
      <c r="D178" s="11">
        <f aca="true" t="shared" si="169" ref="D178:D190">C178</f>
        <v>299387</v>
      </c>
      <c r="E178" s="12">
        <f aca="true" t="shared" si="170" ref="E178:E190">100*D178/D$190</f>
        <v>15.513678435257894</v>
      </c>
      <c r="F178" s="22">
        <f aca="true" t="shared" si="171" ref="F178:F190">D178/B178</f>
        <v>137.14475492441593</v>
      </c>
      <c r="G178" s="13">
        <v>172</v>
      </c>
      <c r="H178" s="10">
        <f t="shared" si="161"/>
        <v>449.54016223172647</v>
      </c>
      <c r="I178" s="11">
        <f t="shared" si="162"/>
        <v>1733.4598377682735</v>
      </c>
      <c r="J178" s="22">
        <f t="shared" si="163"/>
        <v>20.592769685374552</v>
      </c>
      <c r="K178" s="22">
        <f t="shared" si="164"/>
        <v>137.14475492441593</v>
      </c>
      <c r="L178" s="22">
        <f t="shared" si="165"/>
        <v>137.14475492441593</v>
      </c>
      <c r="M178" s="11">
        <f t="shared" si="166"/>
        <v>61652.07537795231</v>
      </c>
      <c r="N178" s="11">
        <f t="shared" si="167"/>
        <v>237734.92462204766</v>
      </c>
      <c r="O178" s="65">
        <f t="shared" si="168"/>
        <v>358.44229870902507</v>
      </c>
      <c r="P178" t="s">
        <v>455</v>
      </c>
      <c r="Q178" s="3">
        <f aca="true" t="shared" si="172" ref="Q178:W178">Q176/(Q176+Q177)</f>
        <v>0.17835980924779585</v>
      </c>
      <c r="R178" s="3">
        <f t="shared" si="172"/>
        <v>0.20349379011762608</v>
      </c>
      <c r="S178" s="3">
        <f t="shared" si="172"/>
        <v>0.25169285403605224</v>
      </c>
      <c r="T178" s="3">
        <f t="shared" si="172"/>
        <v>0.2793952862344793</v>
      </c>
      <c r="U178" s="3">
        <f t="shared" si="172"/>
        <v>0.29193012254803063</v>
      </c>
      <c r="V178" s="3">
        <f t="shared" si="172"/>
        <v>0.33005535439883127</v>
      </c>
      <c r="W178" s="3">
        <f t="shared" si="172"/>
        <v>0.35776861227843554</v>
      </c>
    </row>
    <row r="179" spans="1:24" ht="12.75">
      <c r="A179" t="s">
        <v>386</v>
      </c>
      <c r="B179" s="11">
        <v>2401</v>
      </c>
      <c r="C179" s="11">
        <v>267261</v>
      </c>
      <c r="D179" s="11">
        <f t="shared" si="169"/>
        <v>267261</v>
      </c>
      <c r="E179" s="12">
        <f t="shared" si="170"/>
        <v>13.848968767132373</v>
      </c>
      <c r="F179" s="22">
        <f t="shared" si="171"/>
        <v>111.31236984589755</v>
      </c>
      <c r="G179" s="13">
        <v>182</v>
      </c>
      <c r="H179" s="10">
        <f t="shared" si="161"/>
        <v>475.6762181754315</v>
      </c>
      <c r="I179" s="11">
        <f t="shared" si="162"/>
        <v>1925.3237818245684</v>
      </c>
      <c r="J179" s="22">
        <f t="shared" si="163"/>
        <v>19.811587595811393</v>
      </c>
      <c r="K179" s="22">
        <f t="shared" si="164"/>
        <v>111.31236984589755</v>
      </c>
      <c r="L179" s="22">
        <f t="shared" si="165"/>
        <v>111.31236984589755</v>
      </c>
      <c r="M179" s="11">
        <f t="shared" si="166"/>
        <v>52948.64712444148</v>
      </c>
      <c r="N179" s="11">
        <f t="shared" si="167"/>
        <v>214312.3528755585</v>
      </c>
      <c r="O179" s="65">
        <f t="shared" si="168"/>
        <v>290.92663255187625</v>
      </c>
      <c r="P179" t="s">
        <v>438</v>
      </c>
      <c r="Q179" s="15">
        <f>Q176+Q177</f>
        <v>564996</v>
      </c>
      <c r="R179" s="15">
        <f aca="true" t="shared" si="173" ref="R179:W179">R176+R177</f>
        <v>516242</v>
      </c>
      <c r="S179" s="15">
        <f t="shared" si="173"/>
        <v>387963.00000000006</v>
      </c>
      <c r="T179" s="15">
        <f t="shared" si="173"/>
        <v>249237</v>
      </c>
      <c r="U179" s="15">
        <f t="shared" si="173"/>
        <v>143084</v>
      </c>
      <c r="V179" s="15">
        <f t="shared" si="173"/>
        <v>57360</v>
      </c>
      <c r="W179" s="15">
        <f t="shared" si="173"/>
        <v>10944</v>
      </c>
      <c r="X179" s="15">
        <f>SUM(Q179:W179)</f>
        <v>1929826</v>
      </c>
    </row>
    <row r="180" spans="1:23" ht="12.75">
      <c r="A180" t="s">
        <v>387</v>
      </c>
      <c r="B180" s="11">
        <v>2935</v>
      </c>
      <c r="C180" s="11">
        <v>248981</v>
      </c>
      <c r="D180" s="11">
        <f t="shared" si="169"/>
        <v>248981</v>
      </c>
      <c r="E180" s="12">
        <f t="shared" si="170"/>
        <v>12.901733109617137</v>
      </c>
      <c r="F180" s="22">
        <f t="shared" si="171"/>
        <v>84.83168654173765</v>
      </c>
      <c r="G180" s="13">
        <v>235</v>
      </c>
      <c r="H180" s="10">
        <f t="shared" si="161"/>
        <v>614.1973146770681</v>
      </c>
      <c r="I180" s="11">
        <f t="shared" si="162"/>
        <v>2320.802685322932</v>
      </c>
      <c r="J180" s="22">
        <f t="shared" si="163"/>
        <v>20.926654673835372</v>
      </c>
      <c r="K180" s="22">
        <f t="shared" si="164"/>
        <v>84.83168654173765</v>
      </c>
      <c r="L180" s="22">
        <f t="shared" si="165"/>
        <v>84.83168654173765</v>
      </c>
      <c r="M180" s="11">
        <f t="shared" si="166"/>
        <v>52103.39407346205</v>
      </c>
      <c r="N180" s="11">
        <f t="shared" si="167"/>
        <v>196877.60592653797</v>
      </c>
      <c r="O180" s="65">
        <f t="shared" si="168"/>
        <v>221.71657052537043</v>
      </c>
      <c r="P180" t="s">
        <v>6</v>
      </c>
      <c r="Q180" s="6">
        <f aca="true" t="shared" si="174" ref="Q180:W180">100*Q179/$X179</f>
        <v>29.277043629840204</v>
      </c>
      <c r="R180" s="6">
        <f t="shared" si="174"/>
        <v>26.75070187674951</v>
      </c>
      <c r="S180" s="6">
        <f t="shared" si="174"/>
        <v>20.103522286465207</v>
      </c>
      <c r="T180" s="6">
        <f t="shared" si="174"/>
        <v>12.914998554273804</v>
      </c>
      <c r="U180" s="6">
        <f t="shared" si="174"/>
        <v>7.414347200213905</v>
      </c>
      <c r="V180" s="6">
        <f t="shared" si="174"/>
        <v>2.972288693384792</v>
      </c>
      <c r="W180" s="6">
        <f t="shared" si="174"/>
        <v>0.5670977590725796</v>
      </c>
    </row>
    <row r="181" spans="1:15" ht="12.75">
      <c r="A181" t="s">
        <v>388</v>
      </c>
      <c r="B181" s="11">
        <v>3169</v>
      </c>
      <c r="C181" s="11">
        <v>216385</v>
      </c>
      <c r="D181" s="11">
        <f t="shared" si="169"/>
        <v>216385</v>
      </c>
      <c r="E181" s="12">
        <f t="shared" si="170"/>
        <v>11.212668914192264</v>
      </c>
      <c r="F181" s="22">
        <f t="shared" si="171"/>
        <v>68.28179236352162</v>
      </c>
      <c r="G181" s="13">
        <v>291</v>
      </c>
      <c r="H181" s="10">
        <f t="shared" si="161"/>
        <v>760.5592279618163</v>
      </c>
      <c r="I181" s="11">
        <f t="shared" si="162"/>
        <v>2408.4407720381837</v>
      </c>
      <c r="J181" s="22">
        <f t="shared" si="163"/>
        <v>23.999975637797927</v>
      </c>
      <c r="K181" s="22">
        <f t="shared" si="164"/>
        <v>68.28179236352162</v>
      </c>
      <c r="L181" s="22">
        <f t="shared" si="165"/>
        <v>68.28179236352162</v>
      </c>
      <c r="M181" s="11">
        <f t="shared" si="166"/>
        <v>51932.34728384905</v>
      </c>
      <c r="N181" s="11">
        <f t="shared" si="167"/>
        <v>164452.65271615097</v>
      </c>
      <c r="O181" s="65">
        <f t="shared" si="168"/>
        <v>178.46167451494517</v>
      </c>
    </row>
    <row r="182" spans="1:15" ht="12.75">
      <c r="A182" t="s">
        <v>389</v>
      </c>
      <c r="B182" s="11">
        <v>3139</v>
      </c>
      <c r="C182" s="11">
        <v>171578</v>
      </c>
      <c r="D182" s="11">
        <f t="shared" si="169"/>
        <v>171578</v>
      </c>
      <c r="E182" s="12">
        <f t="shared" si="170"/>
        <v>8.890853372272941</v>
      </c>
      <c r="F182" s="22">
        <f t="shared" si="171"/>
        <v>54.66008282892641</v>
      </c>
      <c r="G182" s="13">
        <v>320</v>
      </c>
      <c r="H182" s="10">
        <f t="shared" si="161"/>
        <v>836.3537901985609</v>
      </c>
      <c r="I182" s="11">
        <f t="shared" si="162"/>
        <v>2302.646209801439</v>
      </c>
      <c r="J182" s="22">
        <f t="shared" si="163"/>
        <v>26.643956361852847</v>
      </c>
      <c r="K182" s="22">
        <f t="shared" si="164"/>
        <v>54.66008282892641</v>
      </c>
      <c r="L182" s="22">
        <f t="shared" si="165"/>
        <v>54.66008282892641</v>
      </c>
      <c r="M182" s="11">
        <f t="shared" si="166"/>
        <v>45715.16744653988</v>
      </c>
      <c r="N182" s="11">
        <f t="shared" si="167"/>
        <v>125862.83255346012</v>
      </c>
      <c r="O182" s="65">
        <f t="shared" si="168"/>
        <v>142.85989827043713</v>
      </c>
    </row>
    <row r="183" spans="1:15" ht="12.75">
      <c r="A183" t="s">
        <v>390</v>
      </c>
      <c r="B183" s="11">
        <v>3168</v>
      </c>
      <c r="C183" s="11">
        <v>139558</v>
      </c>
      <c r="D183" s="11">
        <f t="shared" si="169"/>
        <v>139558</v>
      </c>
      <c r="E183" s="12">
        <f t="shared" si="170"/>
        <v>7.231636427325572</v>
      </c>
      <c r="F183" s="22">
        <f t="shared" si="171"/>
        <v>44.05239898989899</v>
      </c>
      <c r="G183" s="13">
        <v>338</v>
      </c>
      <c r="H183" s="10">
        <f t="shared" si="161"/>
        <v>883.3986908972299</v>
      </c>
      <c r="I183" s="11">
        <f t="shared" si="162"/>
        <v>2284.60130910277</v>
      </c>
      <c r="J183" s="22">
        <f t="shared" si="163"/>
        <v>27.88505968741256</v>
      </c>
      <c r="K183" s="22">
        <f t="shared" si="164"/>
        <v>44.05239898989899</v>
      </c>
      <c r="L183" s="22">
        <f t="shared" si="165"/>
        <v>44.05239898989899</v>
      </c>
      <c r="M183" s="11">
        <f t="shared" si="166"/>
        <v>38915.83159855922</v>
      </c>
      <c r="N183" s="11">
        <f t="shared" si="167"/>
        <v>100642.16840144077</v>
      </c>
      <c r="O183" s="65">
        <f t="shared" si="168"/>
        <v>115.13559644544148</v>
      </c>
    </row>
    <row r="184" spans="1:15" ht="12.75">
      <c r="A184" t="s">
        <v>391</v>
      </c>
      <c r="B184" s="11">
        <v>3154</v>
      </c>
      <c r="C184" s="11">
        <v>109679</v>
      </c>
      <c r="D184" s="11">
        <f t="shared" si="169"/>
        <v>109679</v>
      </c>
      <c r="E184" s="12">
        <f t="shared" si="170"/>
        <v>5.683362126948233</v>
      </c>
      <c r="F184" s="22">
        <f t="shared" si="171"/>
        <v>34.77457197209892</v>
      </c>
      <c r="G184" s="13">
        <v>338</v>
      </c>
      <c r="H184" s="10">
        <f t="shared" si="161"/>
        <v>883.3986908972299</v>
      </c>
      <c r="I184" s="11">
        <f t="shared" si="162"/>
        <v>2270.60130910277</v>
      </c>
      <c r="J184" s="22">
        <f t="shared" si="163"/>
        <v>28.00883610961414</v>
      </c>
      <c r="K184" s="22">
        <f t="shared" si="164"/>
        <v>34.77457197209892</v>
      </c>
      <c r="L184" s="22">
        <f t="shared" si="165"/>
        <v>34.77457197209892</v>
      </c>
      <c r="M184" s="11">
        <f t="shared" si="166"/>
        <v>30719.81135666369</v>
      </c>
      <c r="N184" s="11">
        <f t="shared" si="167"/>
        <v>78959.1886433363</v>
      </c>
      <c r="O184" s="65">
        <f t="shared" si="168"/>
        <v>90.88701584811743</v>
      </c>
    </row>
    <row r="185" spans="1:15" ht="12.75">
      <c r="A185" t="s">
        <v>392</v>
      </c>
      <c r="B185" s="11">
        <v>3424</v>
      </c>
      <c r="C185" s="11">
        <v>84881</v>
      </c>
      <c r="D185" s="11">
        <f t="shared" si="169"/>
        <v>84881</v>
      </c>
      <c r="E185" s="12">
        <f t="shared" si="170"/>
        <v>4.398375812119849</v>
      </c>
      <c r="F185" s="22">
        <f t="shared" si="171"/>
        <v>24.79001168224299</v>
      </c>
      <c r="G185" s="13">
        <v>373</v>
      </c>
      <c r="H185" s="10">
        <f t="shared" si="161"/>
        <v>974.8748867001975</v>
      </c>
      <c r="I185" s="11">
        <f t="shared" si="162"/>
        <v>2449.1251132998023</v>
      </c>
      <c r="J185" s="22">
        <f t="shared" si="163"/>
        <v>28.471813279795487</v>
      </c>
      <c r="K185" s="22">
        <f t="shared" si="164"/>
        <v>24.79001168224299</v>
      </c>
      <c r="L185" s="22">
        <f t="shared" si="165"/>
        <v>24.79001168224299</v>
      </c>
      <c r="M185" s="11">
        <f t="shared" si="166"/>
        <v>24167.159830023207</v>
      </c>
      <c r="N185" s="11">
        <f t="shared" si="167"/>
        <v>60713.840169976786</v>
      </c>
      <c r="O185" s="65">
        <f t="shared" si="168"/>
        <v>64.79131321722039</v>
      </c>
    </row>
    <row r="186" spans="1:15" ht="12.75">
      <c r="A186" t="s">
        <v>393</v>
      </c>
      <c r="B186" s="11">
        <v>3206</v>
      </c>
      <c r="C186" s="11">
        <v>58203</v>
      </c>
      <c r="D186" s="11">
        <f t="shared" si="169"/>
        <v>58203</v>
      </c>
      <c r="E186" s="12">
        <f t="shared" si="170"/>
        <v>3.015971388094056</v>
      </c>
      <c r="F186" s="22">
        <f t="shared" si="171"/>
        <v>18.154398003742983</v>
      </c>
      <c r="G186" s="13">
        <v>371</v>
      </c>
      <c r="H186" s="10">
        <f t="shared" si="161"/>
        <v>969.6476755114566</v>
      </c>
      <c r="I186" s="11">
        <f t="shared" si="162"/>
        <v>2236.3523244885437</v>
      </c>
      <c r="J186" s="22">
        <f t="shared" si="163"/>
        <v>30.244780895553856</v>
      </c>
      <c r="K186" s="22">
        <f t="shared" si="164"/>
        <v>18.154398003742983</v>
      </c>
      <c r="L186" s="22">
        <f t="shared" si="165"/>
        <v>18.154398003742983</v>
      </c>
      <c r="M186" s="11">
        <f t="shared" si="166"/>
        <v>17603.369824639212</v>
      </c>
      <c r="N186" s="11">
        <f t="shared" si="167"/>
        <v>40599.6301753608</v>
      </c>
      <c r="O186" s="65">
        <f t="shared" si="168"/>
        <v>47.44843618501135</v>
      </c>
    </row>
    <row r="187" spans="1:15" ht="12.75">
      <c r="A187" t="s">
        <v>394</v>
      </c>
      <c r="B187" s="11">
        <v>2987</v>
      </c>
      <c r="C187" s="11">
        <v>37949</v>
      </c>
      <c r="D187" s="11">
        <f t="shared" si="169"/>
        <v>37949</v>
      </c>
      <c r="E187" s="12">
        <f t="shared" si="170"/>
        <v>1.966446715921539</v>
      </c>
      <c r="F187" s="22">
        <f t="shared" si="171"/>
        <v>12.704720455306328</v>
      </c>
      <c r="G187" s="13">
        <v>372</v>
      </c>
      <c r="H187" s="10">
        <f t="shared" si="161"/>
        <v>972.261281105827</v>
      </c>
      <c r="I187" s="11">
        <f t="shared" si="162"/>
        <v>2014.738718894173</v>
      </c>
      <c r="J187" s="22">
        <f t="shared" si="163"/>
        <v>32.54975832292692</v>
      </c>
      <c r="K187" s="22">
        <f t="shared" si="164"/>
        <v>12.704720455306328</v>
      </c>
      <c r="L187" s="22">
        <f t="shared" si="165"/>
        <v>12.704720455306328</v>
      </c>
      <c r="M187" s="11">
        <f t="shared" si="166"/>
        <v>12352.307785967536</v>
      </c>
      <c r="N187" s="11">
        <f t="shared" si="167"/>
        <v>25596.692214032464</v>
      </c>
      <c r="O187" s="65">
        <f t="shared" si="168"/>
        <v>33.20512845690198</v>
      </c>
    </row>
    <row r="188" spans="1:15" ht="12.75">
      <c r="A188" t="s">
        <v>395</v>
      </c>
      <c r="B188" s="11">
        <v>2344</v>
      </c>
      <c r="C188" s="11">
        <v>19411</v>
      </c>
      <c r="D188" s="11">
        <f t="shared" si="169"/>
        <v>19411</v>
      </c>
      <c r="E188" s="12">
        <f t="shared" si="170"/>
        <v>1.0058419774632532</v>
      </c>
      <c r="F188" s="22">
        <f t="shared" si="171"/>
        <v>8.281143344709898</v>
      </c>
      <c r="G188" s="13">
        <v>304</v>
      </c>
      <c r="H188" s="10">
        <f t="shared" si="161"/>
        <v>794.5361006886328</v>
      </c>
      <c r="I188" s="11">
        <f t="shared" si="162"/>
        <v>1549.4638993113672</v>
      </c>
      <c r="J188" s="22">
        <f t="shared" si="163"/>
        <v>33.89659132630686</v>
      </c>
      <c r="K188" s="22">
        <f t="shared" si="164"/>
        <v>8.281143344709898</v>
      </c>
      <c r="L188" s="22">
        <f t="shared" si="165"/>
        <v>8.281143344709898</v>
      </c>
      <c r="M188" s="11">
        <f t="shared" si="166"/>
        <v>6579.667342349425</v>
      </c>
      <c r="N188" s="11">
        <f t="shared" si="167"/>
        <v>12831.332657650575</v>
      </c>
      <c r="O188" s="65">
        <f t="shared" si="168"/>
        <v>21.643642573517845</v>
      </c>
    </row>
    <row r="189" spans="1:15" ht="12.75">
      <c r="A189" t="s">
        <v>396</v>
      </c>
      <c r="B189" s="11">
        <v>2345</v>
      </c>
      <c r="C189" s="11">
        <f>8094+2407+443</f>
        <v>10944</v>
      </c>
      <c r="D189" s="11">
        <f t="shared" si="169"/>
        <v>10944</v>
      </c>
      <c r="E189" s="12">
        <f t="shared" si="170"/>
        <v>0.5670977590725796</v>
      </c>
      <c r="F189" s="22">
        <f t="shared" si="171"/>
        <v>4.666950959488273</v>
      </c>
      <c r="G189" s="13">
        <f>195+89+34+3</f>
        <v>321</v>
      </c>
      <c r="H189" s="10">
        <f t="shared" si="161"/>
        <v>838.9673957929314</v>
      </c>
      <c r="I189" s="11">
        <f t="shared" si="162"/>
        <v>1506.0326042070687</v>
      </c>
      <c r="J189" s="22">
        <f t="shared" si="163"/>
        <v>35.776861227843554</v>
      </c>
      <c r="K189" s="22">
        <f t="shared" si="164"/>
        <v>4.666950959488273</v>
      </c>
      <c r="L189" s="22">
        <f t="shared" si="165"/>
        <v>4.666950959488273</v>
      </c>
      <c r="M189" s="11">
        <f t="shared" si="166"/>
        <v>3915.4196927751987</v>
      </c>
      <c r="N189" s="11">
        <f t="shared" si="167"/>
        <v>7028.580307224802</v>
      </c>
      <c r="O189" s="65">
        <f t="shared" si="168"/>
        <v>12.197569136371335</v>
      </c>
    </row>
    <row r="190" spans="1:15" ht="12.75">
      <c r="A190" t="s">
        <v>18</v>
      </c>
      <c r="B190" s="11">
        <f>SUM(B177:B189)</f>
        <v>36265</v>
      </c>
      <c r="C190" s="11">
        <f>SUM(C177:C189)</f>
        <v>1929826</v>
      </c>
      <c r="D190" s="11">
        <f t="shared" si="169"/>
        <v>1929826</v>
      </c>
      <c r="E190" s="12">
        <f t="shared" si="170"/>
        <v>100</v>
      </c>
      <c r="F190" s="22">
        <f t="shared" si="171"/>
        <v>53.21455949262374</v>
      </c>
      <c r="G190" s="11">
        <f>SUM(G177:G189)</f>
        <v>3719</v>
      </c>
      <c r="H190" s="11">
        <f>SUM(H177:H189)</f>
        <v>9719.9992054639</v>
      </c>
      <c r="I190" s="11">
        <f>SUM(I177:I189)</f>
        <v>26545.0007945361</v>
      </c>
      <c r="J190" s="22">
        <f t="shared" si="163"/>
        <v>26.80270013915318</v>
      </c>
      <c r="K190" s="22">
        <f>M190/H190</f>
        <v>45.03351213228279</v>
      </c>
      <c r="L190" s="65">
        <f>N190/I190</f>
        <v>56.210218617212824</v>
      </c>
      <c r="M190" s="11">
        <f>SUM(M177:M189)</f>
        <v>437725.7021450376</v>
      </c>
      <c r="N190" s="11">
        <f>SUM(N177:N189)</f>
        <v>1492100.2978549623</v>
      </c>
      <c r="O190" s="65">
        <f t="shared" si="168"/>
        <v>117.69983924308622</v>
      </c>
    </row>
    <row r="191" ht="12.75">
      <c r="A191" t="s">
        <v>399</v>
      </c>
    </row>
    <row r="195" spans="2:15" ht="12.75">
      <c r="B195" s="21"/>
      <c r="C195" s="21"/>
      <c r="D195" s="21"/>
      <c r="E195" s="21"/>
      <c r="F195" s="21"/>
      <c r="K195" s="69" t="s">
        <v>411</v>
      </c>
      <c r="L195" s="69"/>
      <c r="M195" s="69"/>
      <c r="N195" s="69"/>
      <c r="O195" s="69"/>
    </row>
    <row r="196" spans="1:23" ht="12.75">
      <c r="A196" s="64" t="s">
        <v>454</v>
      </c>
      <c r="B196" t="s">
        <v>383</v>
      </c>
      <c r="C196" t="s">
        <v>397</v>
      </c>
      <c r="D196" t="s">
        <v>397</v>
      </c>
      <c r="F196" t="s">
        <v>398</v>
      </c>
      <c r="G196" t="s">
        <v>421</v>
      </c>
      <c r="H196" t="s">
        <v>424</v>
      </c>
      <c r="I196" t="s">
        <v>422</v>
      </c>
      <c r="J196" t="s">
        <v>423</v>
      </c>
      <c r="K196" t="s">
        <v>425</v>
      </c>
      <c r="L196" t="s">
        <v>426</v>
      </c>
      <c r="M196" t="s">
        <v>427</v>
      </c>
      <c r="N196" t="s">
        <v>428</v>
      </c>
      <c r="O196" t="s">
        <v>425</v>
      </c>
      <c r="Q196" t="s">
        <v>364</v>
      </c>
      <c r="R196" t="s">
        <v>365</v>
      </c>
      <c r="S196" t="s">
        <v>366</v>
      </c>
      <c r="T196" t="s">
        <v>367</v>
      </c>
      <c r="U196" t="s">
        <v>368</v>
      </c>
      <c r="V196" t="s">
        <v>369</v>
      </c>
      <c r="W196" t="s">
        <v>0</v>
      </c>
    </row>
    <row r="197" spans="1:24" ht="12.75">
      <c r="A197" t="s">
        <v>384</v>
      </c>
      <c r="B197" s="11">
        <v>1810</v>
      </c>
      <c r="C197" s="11">
        <v>265609</v>
      </c>
      <c r="D197" s="11">
        <f>C197</f>
        <v>265609</v>
      </c>
      <c r="E197" s="11"/>
      <c r="F197" s="22">
        <f>D197/B197</f>
        <v>146.74530386740332</v>
      </c>
      <c r="G197" s="13">
        <v>7</v>
      </c>
      <c r="H197" s="10">
        <f>G197/0.3463</f>
        <v>20.213687554143807</v>
      </c>
      <c r="I197" s="11">
        <f aca="true" t="shared" si="175" ref="I197:I209">B197-H197</f>
        <v>1789.786312445856</v>
      </c>
      <c r="J197" s="22">
        <f aca="true" t="shared" si="176" ref="J197:J210">100*H197/B197</f>
        <v>1.1167783179084976</v>
      </c>
      <c r="K197" s="22">
        <f aca="true" t="shared" si="177" ref="K197:K209">F197</f>
        <v>146.74530386740332</v>
      </c>
      <c r="L197" s="22">
        <f aca="true" t="shared" si="178" ref="L197:L209">F197</f>
        <v>146.74530386740332</v>
      </c>
      <c r="M197" s="11">
        <f aca="true" t="shared" si="179" ref="M197:M209">H197*K197</f>
        <v>2966.2637224135815</v>
      </c>
      <c r="N197" s="11">
        <f aca="true" t="shared" si="180" ref="N197:N209">I197*L197</f>
        <v>262642.73627758643</v>
      </c>
      <c r="O197" s="65">
        <f aca="true" t="shared" si="181" ref="O197:O210">K197*H197/G197</f>
        <v>423.75196034479734</v>
      </c>
      <c r="P197" t="s">
        <v>436</v>
      </c>
      <c r="Q197" s="15">
        <f>$M197+$M198</f>
        <v>6926.551187744681</v>
      </c>
      <c r="R197" s="15">
        <f>$M199+$M200</f>
        <v>5756.023343372133</v>
      </c>
      <c r="S197" s="15">
        <f>$M201+$M202</f>
        <v>9111.898301210851</v>
      </c>
      <c r="T197" s="15">
        <f>$M203+$M204</f>
        <v>13603.992502697878</v>
      </c>
      <c r="U197" s="15">
        <f>$M205+$M206</f>
        <v>9772.510275722307</v>
      </c>
      <c r="V197" s="15">
        <f>$M207+$M208</f>
        <v>5069.77602543927</v>
      </c>
      <c r="W197" s="15">
        <f>$M209</f>
        <v>1212.8951381863833</v>
      </c>
      <c r="X197" s="15">
        <f>SUM(Q197:W197)</f>
        <v>51453.6467743735</v>
      </c>
    </row>
    <row r="198" spans="1:24" ht="12.75">
      <c r="A198" t="s">
        <v>385</v>
      </c>
      <c r="B198" s="11">
        <v>2183</v>
      </c>
      <c r="C198" s="11">
        <v>299387</v>
      </c>
      <c r="D198" s="11">
        <f aca="true" t="shared" si="182" ref="D198:D210">C198</f>
        <v>299387</v>
      </c>
      <c r="E198" s="11"/>
      <c r="F198" s="22">
        <f aca="true" t="shared" si="183" ref="F198:F210">D198/B198</f>
        <v>137.14475492441593</v>
      </c>
      <c r="G198" s="13">
        <v>10</v>
      </c>
      <c r="H198" s="10">
        <f aca="true" t="shared" si="184" ref="H198:H209">G198/0.3463</f>
        <v>28.876696505919725</v>
      </c>
      <c r="I198" s="11">
        <f t="shared" si="175"/>
        <v>2154.12330349408</v>
      </c>
      <c r="J198" s="22">
        <f t="shared" si="176"/>
        <v>1.3227987405368633</v>
      </c>
      <c r="K198" s="22">
        <f t="shared" si="177"/>
        <v>137.14475492441593</v>
      </c>
      <c r="L198" s="22">
        <f t="shared" si="178"/>
        <v>137.14475492441593</v>
      </c>
      <c r="M198" s="11">
        <f t="shared" si="179"/>
        <v>3960.2874653310987</v>
      </c>
      <c r="N198" s="11">
        <f t="shared" si="180"/>
        <v>295426.71253466886</v>
      </c>
      <c r="O198" s="65">
        <f t="shared" si="181"/>
        <v>396.0287465331099</v>
      </c>
      <c r="P198" t="s">
        <v>428</v>
      </c>
      <c r="Q198" s="15">
        <f>$N197+$N198</f>
        <v>558069.4488122553</v>
      </c>
      <c r="R198" s="15">
        <f>$N199+$N200</f>
        <v>510485.9766566279</v>
      </c>
      <c r="S198" s="15">
        <f>$N201+$N202</f>
        <v>378851.10169878916</v>
      </c>
      <c r="T198" s="15">
        <f>$N203+$N204</f>
        <v>235633.00749730208</v>
      </c>
      <c r="U198" s="15">
        <f>$N205+$N206</f>
        <v>133311.4897242777</v>
      </c>
      <c r="V198" s="15">
        <f>$N207+$N208</f>
        <v>52290.22397456073</v>
      </c>
      <c r="W198" s="15">
        <f>$N209</f>
        <v>9731.104861813616</v>
      </c>
      <c r="X198" s="15">
        <f>SUM(Q198:W198)</f>
        <v>1878372.3532256263</v>
      </c>
    </row>
    <row r="199" spans="1:23" ht="12.75">
      <c r="A199" t="s">
        <v>386</v>
      </c>
      <c r="B199" s="11">
        <v>2401</v>
      </c>
      <c r="C199" s="11">
        <v>267261</v>
      </c>
      <c r="D199" s="11">
        <f t="shared" si="182"/>
        <v>267261</v>
      </c>
      <c r="E199" s="11"/>
      <c r="F199" s="22">
        <f t="shared" si="183"/>
        <v>111.31236984589755</v>
      </c>
      <c r="G199" s="13">
        <v>8</v>
      </c>
      <c r="H199" s="10">
        <f t="shared" si="184"/>
        <v>23.101357204735777</v>
      </c>
      <c r="I199" s="11">
        <f t="shared" si="175"/>
        <v>2377.898642795264</v>
      </c>
      <c r="J199" s="22">
        <f t="shared" si="176"/>
        <v>0.962155652008987</v>
      </c>
      <c r="K199" s="22">
        <f t="shared" si="177"/>
        <v>111.31236984589755</v>
      </c>
      <c r="L199" s="22">
        <f t="shared" si="178"/>
        <v>111.31236984589755</v>
      </c>
      <c r="M199" s="11">
        <f t="shared" si="179"/>
        <v>2571.4668171157386</v>
      </c>
      <c r="N199" s="11">
        <f t="shared" si="180"/>
        <v>264689.5331828843</v>
      </c>
      <c r="O199" s="65">
        <f t="shared" si="181"/>
        <v>321.43335213946733</v>
      </c>
      <c r="P199" t="s">
        <v>437</v>
      </c>
      <c r="Q199" s="3">
        <f aca="true" t="shared" si="185" ref="Q199:W199">Q197/(Q197+Q198)</f>
        <v>0.012259469425880326</v>
      </c>
      <c r="R199" s="3">
        <f t="shared" si="185"/>
        <v>0.011149854803313432</v>
      </c>
      <c r="S199" s="3">
        <f t="shared" si="185"/>
        <v>0.02348651366550638</v>
      </c>
      <c r="T199" s="3">
        <f t="shared" si="185"/>
        <v>0.054582555971616896</v>
      </c>
      <c r="U199" s="3">
        <f t="shared" si="185"/>
        <v>0.06829911293870948</v>
      </c>
      <c r="V199" s="3">
        <f t="shared" si="185"/>
        <v>0.08838521662202353</v>
      </c>
      <c r="W199" s="3">
        <f t="shared" si="185"/>
        <v>0.11082740663252773</v>
      </c>
    </row>
    <row r="200" spans="1:24" ht="12.75">
      <c r="A200" t="s">
        <v>387</v>
      </c>
      <c r="B200" s="11">
        <v>2935</v>
      </c>
      <c r="C200" s="11">
        <v>248981</v>
      </c>
      <c r="D200" s="11">
        <f t="shared" si="182"/>
        <v>248981</v>
      </c>
      <c r="E200" s="11"/>
      <c r="F200" s="22">
        <f t="shared" si="183"/>
        <v>84.83168654173765</v>
      </c>
      <c r="G200" s="13">
        <v>13</v>
      </c>
      <c r="H200" s="10">
        <f t="shared" si="184"/>
        <v>37.53970545769564</v>
      </c>
      <c r="I200" s="11">
        <f t="shared" si="175"/>
        <v>2897.4602945423044</v>
      </c>
      <c r="J200" s="22">
        <f t="shared" si="176"/>
        <v>1.2790359610799196</v>
      </c>
      <c r="K200" s="22">
        <f t="shared" si="177"/>
        <v>84.83168654173765</v>
      </c>
      <c r="L200" s="22">
        <f t="shared" si="178"/>
        <v>84.83168654173765</v>
      </c>
      <c r="M200" s="11">
        <f t="shared" si="179"/>
        <v>3184.5565262563946</v>
      </c>
      <c r="N200" s="11">
        <f t="shared" si="180"/>
        <v>245796.44347374362</v>
      </c>
      <c r="O200" s="65">
        <f t="shared" si="181"/>
        <v>244.96588663510727</v>
      </c>
      <c r="P200" t="s">
        <v>438</v>
      </c>
      <c r="Q200" s="15">
        <f>Q197+Q198</f>
        <v>564996</v>
      </c>
      <c r="R200" s="15">
        <f aca="true" t="shared" si="186" ref="R200:W200">R197+R198</f>
        <v>516242.00000000006</v>
      </c>
      <c r="S200" s="15">
        <f t="shared" si="186"/>
        <v>387963</v>
      </c>
      <c r="T200" s="15">
        <f t="shared" si="186"/>
        <v>249236.99999999997</v>
      </c>
      <c r="U200" s="15">
        <f t="shared" si="186"/>
        <v>143084</v>
      </c>
      <c r="V200" s="15">
        <f t="shared" si="186"/>
        <v>57360</v>
      </c>
      <c r="W200" s="15">
        <f t="shared" si="186"/>
        <v>10943.999999999998</v>
      </c>
      <c r="X200" s="15">
        <f>SUM(Q200:W200)</f>
        <v>1929826</v>
      </c>
    </row>
    <row r="201" spans="1:23" ht="12.75">
      <c r="A201" t="s">
        <v>388</v>
      </c>
      <c r="B201" s="11">
        <v>3169</v>
      </c>
      <c r="C201" s="11">
        <v>216385</v>
      </c>
      <c r="D201" s="11">
        <f t="shared" si="182"/>
        <v>216385</v>
      </c>
      <c r="E201" s="11"/>
      <c r="F201" s="22">
        <f t="shared" si="183"/>
        <v>68.28179236352162</v>
      </c>
      <c r="G201" s="13">
        <v>27</v>
      </c>
      <c r="H201" s="10">
        <f t="shared" si="184"/>
        <v>77.96708056598325</v>
      </c>
      <c r="I201" s="11">
        <f t="shared" si="175"/>
        <v>3091.0329194340165</v>
      </c>
      <c r="J201" s="22">
        <f t="shared" si="176"/>
        <v>2.4603054769953694</v>
      </c>
      <c r="K201" s="22">
        <f t="shared" si="177"/>
        <v>68.28179236352162</v>
      </c>
      <c r="L201" s="22">
        <f t="shared" si="178"/>
        <v>68.28179236352162</v>
      </c>
      <c r="M201" s="11">
        <f t="shared" si="179"/>
        <v>5323.73200639643</v>
      </c>
      <c r="N201" s="11">
        <f t="shared" si="180"/>
        <v>211061.26799360357</v>
      </c>
      <c r="O201" s="65">
        <f t="shared" si="181"/>
        <v>197.17525949616407</v>
      </c>
      <c r="P201" t="s">
        <v>6</v>
      </c>
      <c r="Q201" s="6">
        <f aca="true" t="shared" si="187" ref="Q201:W201">100*Q200/$X200</f>
        <v>29.277043629840204</v>
      </c>
      <c r="R201" s="6">
        <f t="shared" si="187"/>
        <v>26.750701876749513</v>
      </c>
      <c r="S201" s="6">
        <f t="shared" si="187"/>
        <v>20.103522286465203</v>
      </c>
      <c r="T201" s="6">
        <f t="shared" si="187"/>
        <v>12.914998554273803</v>
      </c>
      <c r="U201" s="6">
        <f t="shared" si="187"/>
        <v>7.414347200213905</v>
      </c>
      <c r="V201" s="6">
        <f t="shared" si="187"/>
        <v>2.972288693384792</v>
      </c>
      <c r="W201" s="6">
        <f t="shared" si="187"/>
        <v>0.5670977590725795</v>
      </c>
    </row>
    <row r="202" spans="1:24" ht="12.75">
      <c r="A202" t="s">
        <v>389</v>
      </c>
      <c r="B202" s="11">
        <v>3139</v>
      </c>
      <c r="C202" s="11">
        <v>171578</v>
      </c>
      <c r="D202" s="11">
        <f t="shared" si="182"/>
        <v>171578</v>
      </c>
      <c r="E202" s="11"/>
      <c r="F202" s="22">
        <f t="shared" si="183"/>
        <v>54.66008282892641</v>
      </c>
      <c r="G202" s="13">
        <v>24</v>
      </c>
      <c r="H202" s="10">
        <f t="shared" si="184"/>
        <v>69.30407161420733</v>
      </c>
      <c r="I202" s="11">
        <f t="shared" si="175"/>
        <v>3069.6959283857927</v>
      </c>
      <c r="J202" s="22">
        <f t="shared" si="176"/>
        <v>2.207839172163343</v>
      </c>
      <c r="K202" s="22">
        <f t="shared" si="177"/>
        <v>54.66008282892641</v>
      </c>
      <c r="L202" s="22">
        <f t="shared" si="178"/>
        <v>54.66008282892641</v>
      </c>
      <c r="M202" s="11">
        <f t="shared" si="179"/>
        <v>3788.1662948144203</v>
      </c>
      <c r="N202" s="11">
        <f t="shared" si="180"/>
        <v>167789.8337051856</v>
      </c>
      <c r="O202" s="65">
        <f t="shared" si="181"/>
        <v>157.84026228393418</v>
      </c>
      <c r="P202" t="s">
        <v>460</v>
      </c>
      <c r="Q202" s="15">
        <f aca="true" t="shared" si="188" ref="Q202:W202">Q198-Q177</f>
        <v>93846.02759802295</v>
      </c>
      <c r="R202" s="15">
        <f t="shared" si="188"/>
        <v>99296.01785453141</v>
      </c>
      <c r="S202" s="15">
        <f t="shared" si="188"/>
        <v>88535.61642917804</v>
      </c>
      <c r="T202" s="15">
        <f t="shared" si="188"/>
        <v>56031.650452525006</v>
      </c>
      <c r="U202" s="15">
        <f t="shared" si="188"/>
        <v>31998.01937894011</v>
      </c>
      <c r="V202" s="15">
        <f t="shared" si="188"/>
        <v>13862.19910287769</v>
      </c>
      <c r="W202" s="15">
        <f t="shared" si="188"/>
        <v>2702.5245545888138</v>
      </c>
      <c r="X202" s="15">
        <f>SUM(Q202:W202)</f>
        <v>386272.05537066405</v>
      </c>
    </row>
    <row r="203" spans="1:24" ht="12.75">
      <c r="A203" t="s">
        <v>390</v>
      </c>
      <c r="B203" s="11">
        <v>3168</v>
      </c>
      <c r="C203" s="11">
        <v>139558</v>
      </c>
      <c r="D203" s="11">
        <f t="shared" si="182"/>
        <v>139558</v>
      </c>
      <c r="E203" s="11"/>
      <c r="F203" s="22">
        <f t="shared" si="183"/>
        <v>44.05239898989899</v>
      </c>
      <c r="G203" s="13">
        <v>58</v>
      </c>
      <c r="H203" s="10">
        <f t="shared" si="184"/>
        <v>167.4848397343344</v>
      </c>
      <c r="I203" s="11">
        <f t="shared" si="175"/>
        <v>3000.5151602656656</v>
      </c>
      <c r="J203" s="22">
        <f t="shared" si="176"/>
        <v>5.28676893100803</v>
      </c>
      <c r="K203" s="22">
        <f t="shared" si="177"/>
        <v>44.05239898989899</v>
      </c>
      <c r="L203" s="22">
        <f t="shared" si="178"/>
        <v>44.05239898989899</v>
      </c>
      <c r="M203" s="11">
        <f t="shared" si="179"/>
        <v>7378.108984736187</v>
      </c>
      <c r="N203" s="11">
        <f t="shared" si="180"/>
        <v>132179.8910152638</v>
      </c>
      <c r="O203" s="65">
        <f t="shared" si="181"/>
        <v>127.20877559889978</v>
      </c>
      <c r="P203" t="s">
        <v>405</v>
      </c>
      <c r="Q203" s="15">
        <f aca="true" t="shared" si="189" ref="Q203:W203">Q177</f>
        <v>464223.42121423234</v>
      </c>
      <c r="R203" s="15">
        <f t="shared" si="189"/>
        <v>411189.9588020965</v>
      </c>
      <c r="S203" s="15">
        <f t="shared" si="189"/>
        <v>290315.4852696111</v>
      </c>
      <c r="T203" s="15">
        <f t="shared" si="189"/>
        <v>179601.35704477708</v>
      </c>
      <c r="U203" s="15">
        <f t="shared" si="189"/>
        <v>101313.47034533758</v>
      </c>
      <c r="V203" s="15">
        <f t="shared" si="189"/>
        <v>38428.02487168304</v>
      </c>
      <c r="W203" s="15">
        <f t="shared" si="189"/>
        <v>7028.580307224802</v>
      </c>
      <c r="X203" s="15">
        <f>SUM(Q203:W203)</f>
        <v>1492100.2978549625</v>
      </c>
    </row>
    <row r="204" spans="1:24" ht="12.75">
      <c r="A204" t="s">
        <v>391</v>
      </c>
      <c r="B204" s="11">
        <v>3154</v>
      </c>
      <c r="C204" s="11">
        <v>109679</v>
      </c>
      <c r="D204" s="11">
        <f t="shared" si="182"/>
        <v>109679</v>
      </c>
      <c r="E204" s="11"/>
      <c r="F204" s="22">
        <f t="shared" si="183"/>
        <v>34.77457197209892</v>
      </c>
      <c r="G204" s="13">
        <v>62</v>
      </c>
      <c r="H204" s="10">
        <f t="shared" si="184"/>
        <v>179.0355183367023</v>
      </c>
      <c r="I204" s="11">
        <f t="shared" si="175"/>
        <v>2974.9644816632976</v>
      </c>
      <c r="J204" s="22">
        <f t="shared" si="176"/>
        <v>5.676459046819984</v>
      </c>
      <c r="K204" s="22">
        <f t="shared" si="177"/>
        <v>34.77457197209892</v>
      </c>
      <c r="L204" s="22">
        <f t="shared" si="178"/>
        <v>34.77457197209892</v>
      </c>
      <c r="M204" s="11">
        <f t="shared" si="179"/>
        <v>6225.88351796169</v>
      </c>
      <c r="N204" s="11">
        <f t="shared" si="180"/>
        <v>103453.1164820383</v>
      </c>
      <c r="O204" s="65">
        <f t="shared" si="181"/>
        <v>100.41747609615629</v>
      </c>
      <c r="P204" t="s">
        <v>461</v>
      </c>
      <c r="Q204" s="6">
        <f>100*Q202/(Q202+Q203)</f>
        <v>16.81619156858638</v>
      </c>
      <c r="R204" s="6">
        <f aca="true" t="shared" si="190" ref="R204:W204">100*R202/(R202+R203)</f>
        <v>19.45127239436817</v>
      </c>
      <c r="S204" s="6">
        <f t="shared" si="190"/>
        <v>23.36950216910535</v>
      </c>
      <c r="T204" s="6">
        <f t="shared" si="190"/>
        <v>23.779202687962357</v>
      </c>
      <c r="U204" s="6">
        <f t="shared" si="190"/>
        <v>24.002446784684658</v>
      </c>
      <c r="V204" s="6">
        <f t="shared" si="190"/>
        <v>26.51011613494268</v>
      </c>
      <c r="W204" s="6">
        <f t="shared" si="190"/>
        <v>27.772021707359716</v>
      </c>
      <c r="X204" s="6">
        <f>100*X202/(X202+X203)</f>
        <v>20.56418977352068</v>
      </c>
    </row>
    <row r="205" spans="1:24" ht="12.75">
      <c r="A205" t="s">
        <v>392</v>
      </c>
      <c r="B205" s="11">
        <v>3424</v>
      </c>
      <c r="C205" s="11">
        <v>84881</v>
      </c>
      <c r="D205" s="11">
        <f t="shared" si="182"/>
        <v>84881</v>
      </c>
      <c r="E205" s="11"/>
      <c r="F205" s="22">
        <f t="shared" si="183"/>
        <v>24.79001168224299</v>
      </c>
      <c r="G205" s="13">
        <v>75</v>
      </c>
      <c r="H205" s="10">
        <f t="shared" si="184"/>
        <v>216.5752237943979</v>
      </c>
      <c r="I205" s="11">
        <f t="shared" si="175"/>
        <v>3207.424776205602</v>
      </c>
      <c r="J205" s="22">
        <f t="shared" si="176"/>
        <v>6.325210975303677</v>
      </c>
      <c r="K205" s="22">
        <f t="shared" si="177"/>
        <v>24.79001168224299</v>
      </c>
      <c r="L205" s="22">
        <f t="shared" si="178"/>
        <v>24.79001168224299</v>
      </c>
      <c r="M205" s="11">
        <f t="shared" si="179"/>
        <v>5368.902327947514</v>
      </c>
      <c r="N205" s="11">
        <f t="shared" si="180"/>
        <v>79512.09767205248</v>
      </c>
      <c r="O205" s="65">
        <f t="shared" si="181"/>
        <v>71.58536437263352</v>
      </c>
      <c r="P205" t="s">
        <v>463</v>
      </c>
      <c r="Q205" s="4">
        <f>H197+H198</f>
        <v>49.09038406006353</v>
      </c>
      <c r="R205" s="4">
        <f>H199+H200</f>
        <v>60.641062662431416</v>
      </c>
      <c r="S205" s="4">
        <f>H201+H202</f>
        <v>147.2711521801906</v>
      </c>
      <c r="T205" s="4">
        <f>H203+H204</f>
        <v>346.5203580710367</v>
      </c>
      <c r="U205" s="4">
        <f>H205+H206</f>
        <v>459.1394744441236</v>
      </c>
      <c r="V205" s="4">
        <f>H207+H208</f>
        <v>476.4654923476754</v>
      </c>
      <c r="W205" s="4">
        <f>H209</f>
        <v>259.8902685532775</v>
      </c>
      <c r="X205" s="15">
        <f>SUM(Q205:W205)</f>
        <v>1799.0181923187988</v>
      </c>
    </row>
    <row r="206" spans="1:24" ht="12.75">
      <c r="A206" t="s">
        <v>393</v>
      </c>
      <c r="B206" s="11">
        <v>3206</v>
      </c>
      <c r="C206" s="11">
        <v>58203</v>
      </c>
      <c r="D206" s="11">
        <f t="shared" si="182"/>
        <v>58203</v>
      </c>
      <c r="E206" s="11"/>
      <c r="F206" s="22">
        <f t="shared" si="183"/>
        <v>18.154398003742983</v>
      </c>
      <c r="G206" s="13">
        <v>84</v>
      </c>
      <c r="H206" s="10">
        <f t="shared" si="184"/>
        <v>242.56425064972566</v>
      </c>
      <c r="I206" s="11">
        <f t="shared" si="175"/>
        <v>2963.4357493502744</v>
      </c>
      <c r="J206" s="22">
        <f t="shared" si="176"/>
        <v>7.565946682773726</v>
      </c>
      <c r="K206" s="22">
        <f t="shared" si="177"/>
        <v>18.154398003742983</v>
      </c>
      <c r="L206" s="22">
        <f t="shared" si="178"/>
        <v>18.154398003742983</v>
      </c>
      <c r="M206" s="11">
        <f t="shared" si="179"/>
        <v>4403.607947774793</v>
      </c>
      <c r="N206" s="11">
        <f t="shared" si="180"/>
        <v>53799.392052225216</v>
      </c>
      <c r="O206" s="65">
        <f t="shared" si="181"/>
        <v>52.423904140176106</v>
      </c>
      <c r="P206" t="s">
        <v>6</v>
      </c>
      <c r="Q206" s="6">
        <f aca="true" t="shared" si="191" ref="Q206:X206">100*Q205/$X205</f>
        <v>2.728731942215088</v>
      </c>
      <c r="R206" s="6">
        <f t="shared" si="191"/>
        <v>3.3707865168539324</v>
      </c>
      <c r="S206" s="6">
        <f t="shared" si="191"/>
        <v>8.186195826645266</v>
      </c>
      <c r="T206" s="6">
        <f t="shared" si="191"/>
        <v>19.261637239165328</v>
      </c>
      <c r="U206" s="6">
        <f t="shared" si="191"/>
        <v>25.52166934189406</v>
      </c>
      <c r="V206" s="6">
        <f t="shared" si="191"/>
        <v>26.484751203852323</v>
      </c>
      <c r="W206" s="6">
        <f t="shared" si="191"/>
        <v>14.446227929373995</v>
      </c>
      <c r="X206" s="6">
        <f t="shared" si="191"/>
        <v>100</v>
      </c>
    </row>
    <row r="207" spans="1:24" ht="12.75">
      <c r="A207" t="s">
        <v>394</v>
      </c>
      <c r="B207" s="11">
        <v>2987</v>
      </c>
      <c r="C207" s="11">
        <v>37949</v>
      </c>
      <c r="D207" s="11">
        <f t="shared" si="182"/>
        <v>37949</v>
      </c>
      <c r="E207" s="11"/>
      <c r="F207" s="22">
        <f t="shared" si="183"/>
        <v>12.704720455306328</v>
      </c>
      <c r="G207" s="13">
        <v>88</v>
      </c>
      <c r="H207" s="10">
        <f t="shared" si="184"/>
        <v>254.11492925209356</v>
      </c>
      <c r="I207" s="11">
        <f t="shared" si="175"/>
        <v>2732.8850707479064</v>
      </c>
      <c r="J207" s="22">
        <f t="shared" si="176"/>
        <v>8.507362880886962</v>
      </c>
      <c r="K207" s="22">
        <f t="shared" si="177"/>
        <v>12.704720455306328</v>
      </c>
      <c r="L207" s="22">
        <f t="shared" si="178"/>
        <v>12.704720455306328</v>
      </c>
      <c r="M207" s="11">
        <f t="shared" si="179"/>
        <v>3228.4591396677934</v>
      </c>
      <c r="N207" s="11">
        <f t="shared" si="180"/>
        <v>34720.54086033221</v>
      </c>
      <c r="O207" s="65">
        <f t="shared" si="181"/>
        <v>36.68703567804311</v>
      </c>
      <c r="P207" t="s">
        <v>464</v>
      </c>
      <c r="Q207" s="4">
        <f>$H177+$H178-$H197-$H198</f>
        <v>667.0375487974542</v>
      </c>
      <c r="R207" s="4">
        <f>$H179+$H180-$H199-$H200</f>
        <v>1029.2324701900682</v>
      </c>
      <c r="S207" s="4">
        <f>$H181+$H182-$H201-$H202</f>
        <v>1449.6418659801868</v>
      </c>
      <c r="T207" s="4">
        <f>$H183+$H184-$H203-$H204</f>
        <v>1420.277023723423</v>
      </c>
      <c r="U207" s="4">
        <f>$H185+$H186-$H205-$H206</f>
        <v>1485.3830877675305</v>
      </c>
      <c r="V207" s="4">
        <f>$H187+$H188-$H207-$H208</f>
        <v>1290.3318894467843</v>
      </c>
      <c r="W207" s="4">
        <f>$H189-$H209</f>
        <v>579.0771272396539</v>
      </c>
      <c r="X207" s="15">
        <f>SUM(Q207:W207)</f>
        <v>7920.981013145101</v>
      </c>
    </row>
    <row r="208" spans="1:24" ht="12.75">
      <c r="A208" t="s">
        <v>395</v>
      </c>
      <c r="B208" s="11">
        <v>2344</v>
      </c>
      <c r="C208" s="11">
        <v>19411</v>
      </c>
      <c r="D208" s="11">
        <f t="shared" si="182"/>
        <v>19411</v>
      </c>
      <c r="E208" s="11"/>
      <c r="F208" s="22">
        <f t="shared" si="183"/>
        <v>8.281143344709898</v>
      </c>
      <c r="G208" s="13">
        <v>77</v>
      </c>
      <c r="H208" s="10">
        <f t="shared" si="184"/>
        <v>222.35056309558186</v>
      </c>
      <c r="I208" s="11">
        <f t="shared" si="175"/>
        <v>2121.649436904418</v>
      </c>
      <c r="J208" s="22">
        <f t="shared" si="176"/>
        <v>9.48594552455554</v>
      </c>
      <c r="K208" s="22">
        <f t="shared" si="177"/>
        <v>8.281143344709898</v>
      </c>
      <c r="L208" s="22">
        <f t="shared" si="178"/>
        <v>8.281143344709898</v>
      </c>
      <c r="M208" s="11">
        <f t="shared" si="179"/>
        <v>1841.316885771476</v>
      </c>
      <c r="N208" s="11">
        <f t="shared" si="180"/>
        <v>17569.683114228523</v>
      </c>
      <c r="O208" s="65">
        <f t="shared" si="181"/>
        <v>23.91320630872047</v>
      </c>
      <c r="P208" t="s">
        <v>6</v>
      </c>
      <c r="Q208" s="6">
        <f aca="true" t="shared" si="192" ref="Q208:X208">100*Q207/$X207</f>
        <v>8.421148184681742</v>
      </c>
      <c r="R208" s="6">
        <f t="shared" si="192"/>
        <v>12.99374999740596</v>
      </c>
      <c r="S208" s="6">
        <f t="shared" si="192"/>
        <v>18.301292018936334</v>
      </c>
      <c r="T208" s="6">
        <f t="shared" si="192"/>
        <v>17.930569728249967</v>
      </c>
      <c r="U208" s="6">
        <f t="shared" si="192"/>
        <v>18.75251418104012</v>
      </c>
      <c r="V208" s="6">
        <f t="shared" si="192"/>
        <v>16.290051539139416</v>
      </c>
      <c r="W208" s="6">
        <f t="shared" si="192"/>
        <v>7.310674350546458</v>
      </c>
      <c r="X208" s="6">
        <f t="shared" si="192"/>
        <v>100</v>
      </c>
    </row>
    <row r="209" spans="1:24" ht="12.75">
      <c r="A209" t="s">
        <v>396</v>
      </c>
      <c r="B209" s="11">
        <v>2345</v>
      </c>
      <c r="C209" s="11">
        <f>8094+2407+443</f>
        <v>10944</v>
      </c>
      <c r="D209" s="11">
        <f t="shared" si="182"/>
        <v>10944</v>
      </c>
      <c r="E209" s="11"/>
      <c r="F209" s="22">
        <f t="shared" si="183"/>
        <v>4.666950959488273</v>
      </c>
      <c r="G209" s="13">
        <v>90</v>
      </c>
      <c r="H209" s="10">
        <f t="shared" si="184"/>
        <v>259.8902685532775</v>
      </c>
      <c r="I209" s="11">
        <f t="shared" si="175"/>
        <v>2085.1097314467224</v>
      </c>
      <c r="J209" s="22">
        <f t="shared" si="176"/>
        <v>11.082740663252771</v>
      </c>
      <c r="K209" s="22">
        <f t="shared" si="177"/>
        <v>4.666950959488273</v>
      </c>
      <c r="L209" s="22">
        <f t="shared" si="178"/>
        <v>4.666950959488273</v>
      </c>
      <c r="M209" s="11">
        <f t="shared" si="179"/>
        <v>1212.8951381863833</v>
      </c>
      <c r="N209" s="11">
        <f t="shared" si="180"/>
        <v>9731.104861813616</v>
      </c>
      <c r="O209" s="65">
        <f t="shared" si="181"/>
        <v>13.47661264651537</v>
      </c>
      <c r="P209" t="s">
        <v>402</v>
      </c>
      <c r="Q209" s="15">
        <f>I177+I178</f>
        <v>3276.872067142482</v>
      </c>
      <c r="R209" s="15">
        <f>I179+I180</f>
        <v>4246.1264671475</v>
      </c>
      <c r="S209" s="15">
        <f>I181+I182</f>
        <v>4711.086981839622</v>
      </c>
      <c r="T209" s="15">
        <f>I183+I184</f>
        <v>4555.20261820554</v>
      </c>
      <c r="U209" s="15">
        <f>I185+I186</f>
        <v>4685.477437788346</v>
      </c>
      <c r="V209" s="15">
        <f>I187+I188</f>
        <v>3564.20261820554</v>
      </c>
      <c r="W209" s="15">
        <f>I189</f>
        <v>1506.0326042070687</v>
      </c>
      <c r="X209" s="15">
        <f>SUM(Q209:W209)</f>
        <v>26545.000794536103</v>
      </c>
    </row>
    <row r="210" spans="1:24" ht="12.75">
      <c r="A210" t="s">
        <v>18</v>
      </c>
      <c r="B210" s="11">
        <f>SUM(B197:B209)</f>
        <v>36265</v>
      </c>
      <c r="C210" s="11">
        <f>SUM(C197:C209)</f>
        <v>1929826</v>
      </c>
      <c r="D210" s="11">
        <f t="shared" si="182"/>
        <v>1929826</v>
      </c>
      <c r="E210" s="11"/>
      <c r="F210" s="22">
        <f t="shared" si="183"/>
        <v>53.21455949262374</v>
      </c>
      <c r="G210" s="11">
        <f>SUM(G197:G209)</f>
        <v>623</v>
      </c>
      <c r="H210" s="11">
        <f>SUM(H197:H209)</f>
        <v>1799.0181923187988</v>
      </c>
      <c r="I210" s="11">
        <f>SUM(I197:I209)</f>
        <v>34465.9818076812</v>
      </c>
      <c r="J210" s="22">
        <f t="shared" si="176"/>
        <v>4.960756079743</v>
      </c>
      <c r="K210" s="22">
        <f>M210/H210</f>
        <v>28.60095967570713</v>
      </c>
      <c r="L210" s="65">
        <f>N210/I210</f>
        <v>54.49931366258095</v>
      </c>
      <c r="M210" s="11">
        <f>SUM(M197:M209)</f>
        <v>51453.6467743735</v>
      </c>
      <c r="N210" s="11">
        <f>SUM(N197:N209)</f>
        <v>1878372.3532256265</v>
      </c>
      <c r="O210" s="65">
        <f t="shared" si="181"/>
        <v>82.5901232333443</v>
      </c>
      <c r="P210" t="s">
        <v>6</v>
      </c>
      <c r="Q210" s="6">
        <f aca="true" t="shared" si="193" ref="Q210:X210">100*Q209/$X209</f>
        <v>12.344592085365385</v>
      </c>
      <c r="R210" s="6">
        <f t="shared" si="193"/>
        <v>15.995955321355659</v>
      </c>
      <c r="S210" s="6">
        <f t="shared" si="193"/>
        <v>17.747548844712522</v>
      </c>
      <c r="T210" s="6">
        <f t="shared" si="193"/>
        <v>17.160303190283425</v>
      </c>
      <c r="U210" s="6">
        <f t="shared" si="193"/>
        <v>17.651072885832356</v>
      </c>
      <c r="V210" s="6">
        <f t="shared" si="193"/>
        <v>13.427020197864069</v>
      </c>
      <c r="W210" s="6">
        <f t="shared" si="193"/>
        <v>5.673507474586565</v>
      </c>
      <c r="X210" s="6">
        <f t="shared" si="193"/>
        <v>100</v>
      </c>
    </row>
    <row r="211" ht="12.75">
      <c r="A211" t="s">
        <v>399</v>
      </c>
    </row>
    <row r="214" spans="2:15" ht="12.75">
      <c r="B214" s="21"/>
      <c r="C214" s="21"/>
      <c r="D214" s="21"/>
      <c r="E214" s="21"/>
      <c r="F214" s="21"/>
      <c r="K214" s="69" t="s">
        <v>411</v>
      </c>
      <c r="L214" s="69"/>
      <c r="M214" s="69"/>
      <c r="N214" s="69"/>
      <c r="O214" s="69"/>
    </row>
    <row r="215" spans="1:15" ht="12.75">
      <c r="A215" s="18" t="s">
        <v>490</v>
      </c>
      <c r="B215" t="s">
        <v>383</v>
      </c>
      <c r="C215" t="s">
        <v>489</v>
      </c>
      <c r="D215" t="s">
        <v>489</v>
      </c>
      <c r="F215" t="s">
        <v>398</v>
      </c>
      <c r="G215" t="s">
        <v>401</v>
      </c>
      <c r="H215" t="s">
        <v>400</v>
      </c>
      <c r="I215" t="s">
        <v>402</v>
      </c>
      <c r="J215" t="s">
        <v>403</v>
      </c>
      <c r="K215" t="s">
        <v>406</v>
      </c>
      <c r="L215" t="s">
        <v>407</v>
      </c>
      <c r="M215" t="s">
        <v>404</v>
      </c>
      <c r="N215" t="s">
        <v>405</v>
      </c>
      <c r="O215" t="s">
        <v>406</v>
      </c>
    </row>
    <row r="216" spans="1:15" ht="12.75">
      <c r="A216" t="s">
        <v>384</v>
      </c>
      <c r="B216" s="11">
        <v>3668</v>
      </c>
      <c r="C216" s="11">
        <v>4306631</v>
      </c>
      <c r="D216" s="11">
        <f>C216</f>
        <v>4306631</v>
      </c>
      <c r="E216" s="12">
        <f aca="true" t="shared" si="194" ref="E216:E230">100*D216/D$230</f>
        <v>9.99404181543273</v>
      </c>
      <c r="F216" s="22">
        <f>D216/B216</f>
        <v>1174.1087786259543</v>
      </c>
      <c r="G216" s="13">
        <v>157</v>
      </c>
      <c r="H216" s="10">
        <f>G216</f>
        <v>157</v>
      </c>
      <c r="I216" s="11">
        <f aca="true" t="shared" si="195" ref="I216:I230">B216-H216</f>
        <v>3511</v>
      </c>
      <c r="J216" s="22">
        <f aca="true" t="shared" si="196" ref="J216:J230">100*H216/B216</f>
        <v>4.280261723009815</v>
      </c>
      <c r="K216" s="22">
        <f aca="true" t="shared" si="197" ref="K216:K228">F216</f>
        <v>1174.1087786259543</v>
      </c>
      <c r="L216" s="22">
        <f aca="true" t="shared" si="198" ref="L216:L228">F216</f>
        <v>1174.1087786259543</v>
      </c>
      <c r="M216" s="11">
        <f aca="true" t="shared" si="199" ref="M216:M229">H216*K216</f>
        <v>184335.07824427483</v>
      </c>
      <c r="N216" s="11">
        <f aca="true" t="shared" si="200" ref="N216:N229">I216*L216</f>
        <v>4122295.9217557255</v>
      </c>
      <c r="O216" s="65">
        <f aca="true" t="shared" si="201" ref="O216:O229">K216*H216/G216</f>
        <v>1174.1087786259543</v>
      </c>
    </row>
    <row r="217" spans="1:15" ht="12.75">
      <c r="A217" t="s">
        <v>385</v>
      </c>
      <c r="B217" s="11">
        <v>4343</v>
      </c>
      <c r="C217" s="11">
        <v>4277755</v>
      </c>
      <c r="D217" s="11">
        <f aca="true" t="shared" si="202" ref="D217:D230">C217</f>
        <v>4277755</v>
      </c>
      <c r="E217" s="12">
        <f t="shared" si="194"/>
        <v>9.927031674219695</v>
      </c>
      <c r="F217" s="22">
        <f aca="true" t="shared" si="203" ref="F217:F230">D217/B217</f>
        <v>984.9769744416302</v>
      </c>
      <c r="G217" s="13">
        <v>1078</v>
      </c>
      <c r="H217" s="10">
        <f aca="true" t="shared" si="204" ref="H217:H230">G217</f>
        <v>1078</v>
      </c>
      <c r="I217" s="11">
        <f t="shared" si="195"/>
        <v>3265</v>
      </c>
      <c r="J217" s="22">
        <f t="shared" si="196"/>
        <v>24.821551922634125</v>
      </c>
      <c r="K217" s="22">
        <f t="shared" si="197"/>
        <v>984.9769744416302</v>
      </c>
      <c r="L217" s="22">
        <f t="shared" si="198"/>
        <v>984.9769744416302</v>
      </c>
      <c r="M217" s="11">
        <f t="shared" si="199"/>
        <v>1061805.1784480773</v>
      </c>
      <c r="N217" s="11">
        <f t="shared" si="200"/>
        <v>3215949.8215519227</v>
      </c>
      <c r="O217" s="65">
        <f t="shared" si="201"/>
        <v>984.9769744416301</v>
      </c>
    </row>
    <row r="218" spans="1:15" ht="12.75">
      <c r="A218" t="s">
        <v>386</v>
      </c>
      <c r="B218" s="11">
        <v>5722</v>
      </c>
      <c r="C218" s="11">
        <v>4377365</v>
      </c>
      <c r="D218" s="11">
        <f t="shared" si="202"/>
        <v>4377365</v>
      </c>
      <c r="E218" s="12">
        <f t="shared" si="194"/>
        <v>10.158188349875273</v>
      </c>
      <c r="F218" s="22">
        <f t="shared" si="203"/>
        <v>765.0061167423978</v>
      </c>
      <c r="G218" s="13">
        <v>2100</v>
      </c>
      <c r="H218" s="10">
        <f t="shared" si="204"/>
        <v>2100</v>
      </c>
      <c r="I218" s="11">
        <f t="shared" si="195"/>
        <v>3622</v>
      </c>
      <c r="J218" s="22">
        <f t="shared" si="196"/>
        <v>36.70045438657812</v>
      </c>
      <c r="K218" s="22">
        <f t="shared" si="197"/>
        <v>765.0061167423978</v>
      </c>
      <c r="L218" s="22">
        <f t="shared" si="198"/>
        <v>765.0061167423978</v>
      </c>
      <c r="M218" s="11">
        <f t="shared" si="199"/>
        <v>1606512.8451590354</v>
      </c>
      <c r="N218" s="11">
        <f t="shared" si="200"/>
        <v>2770852.154840965</v>
      </c>
      <c r="O218" s="65">
        <f t="shared" si="201"/>
        <v>765.0061167423978</v>
      </c>
    </row>
    <row r="219" spans="1:15" ht="12.75">
      <c r="A219" t="s">
        <v>387</v>
      </c>
      <c r="B219" s="11">
        <v>7267</v>
      </c>
      <c r="C219" s="11">
        <v>4296445</v>
      </c>
      <c r="D219" s="11">
        <f t="shared" si="202"/>
        <v>4296445</v>
      </c>
      <c r="E219" s="12">
        <f t="shared" si="194"/>
        <v>9.970404009005387</v>
      </c>
      <c r="F219" s="22">
        <f t="shared" si="203"/>
        <v>591.2267785881381</v>
      </c>
      <c r="G219" s="13">
        <v>2530</v>
      </c>
      <c r="H219" s="10">
        <f t="shared" si="204"/>
        <v>2530</v>
      </c>
      <c r="I219" s="11">
        <f t="shared" si="195"/>
        <v>4737</v>
      </c>
      <c r="J219" s="22">
        <f t="shared" si="196"/>
        <v>34.814916746938216</v>
      </c>
      <c r="K219" s="22">
        <f t="shared" si="197"/>
        <v>591.2267785881381</v>
      </c>
      <c r="L219" s="22">
        <f t="shared" si="198"/>
        <v>591.2267785881381</v>
      </c>
      <c r="M219" s="11">
        <f t="shared" si="199"/>
        <v>1495803.7498279894</v>
      </c>
      <c r="N219" s="11">
        <f t="shared" si="200"/>
        <v>2800641.25017201</v>
      </c>
      <c r="O219" s="65">
        <f t="shared" si="201"/>
        <v>591.2267785881381</v>
      </c>
    </row>
    <row r="220" spans="1:15" ht="12.75">
      <c r="A220" t="s">
        <v>388</v>
      </c>
      <c r="B220" s="11">
        <v>9930</v>
      </c>
      <c r="C220" s="11">
        <v>4289863</v>
      </c>
      <c r="D220" s="11">
        <f t="shared" si="202"/>
        <v>4289863</v>
      </c>
      <c r="E220" s="12">
        <f t="shared" si="194"/>
        <v>9.955129706835274</v>
      </c>
      <c r="F220" s="22">
        <f t="shared" si="203"/>
        <v>432.0103726082578</v>
      </c>
      <c r="G220" s="13">
        <v>3744</v>
      </c>
      <c r="H220" s="10">
        <f t="shared" si="204"/>
        <v>3744</v>
      </c>
      <c r="I220" s="11">
        <f t="shared" si="195"/>
        <v>6186</v>
      </c>
      <c r="J220" s="22">
        <f t="shared" si="196"/>
        <v>37.70392749244713</v>
      </c>
      <c r="K220" s="22">
        <f t="shared" si="197"/>
        <v>432.0103726082578</v>
      </c>
      <c r="L220" s="22">
        <f t="shared" si="198"/>
        <v>432.0103726082578</v>
      </c>
      <c r="M220" s="11">
        <f t="shared" si="199"/>
        <v>1617446.8350453172</v>
      </c>
      <c r="N220" s="11">
        <f t="shared" si="200"/>
        <v>2672416.164954683</v>
      </c>
      <c r="O220" s="65">
        <f t="shared" si="201"/>
        <v>432.0103726082578</v>
      </c>
    </row>
    <row r="221" spans="1:15" ht="12.75">
      <c r="A221" t="s">
        <v>389</v>
      </c>
      <c r="B221" s="11">
        <v>13794</v>
      </c>
      <c r="C221" s="11">
        <v>4058340</v>
      </c>
      <c r="D221" s="11">
        <f t="shared" si="202"/>
        <v>4058340</v>
      </c>
      <c r="E221" s="12">
        <f t="shared" si="194"/>
        <v>9.417853459291791</v>
      </c>
      <c r="F221" s="22">
        <f t="shared" si="203"/>
        <v>294.2105263157895</v>
      </c>
      <c r="G221" s="13">
        <v>6930</v>
      </c>
      <c r="H221" s="10">
        <f t="shared" si="204"/>
        <v>6930</v>
      </c>
      <c r="I221" s="11">
        <f t="shared" si="195"/>
        <v>6864</v>
      </c>
      <c r="J221" s="22">
        <f t="shared" si="196"/>
        <v>50.239234449760765</v>
      </c>
      <c r="K221" s="22">
        <f t="shared" si="197"/>
        <v>294.2105263157895</v>
      </c>
      <c r="L221" s="22">
        <f t="shared" si="198"/>
        <v>294.2105263157895</v>
      </c>
      <c r="M221" s="11">
        <f t="shared" si="199"/>
        <v>2038878.9473684211</v>
      </c>
      <c r="N221" s="11">
        <f t="shared" si="200"/>
        <v>2019461.0526315789</v>
      </c>
      <c r="O221" s="65">
        <f t="shared" si="201"/>
        <v>294.2105263157895</v>
      </c>
    </row>
    <row r="222" spans="1:15" ht="12.75">
      <c r="A222" t="s">
        <v>390</v>
      </c>
      <c r="B222" s="11">
        <v>13735</v>
      </c>
      <c r="C222" s="11">
        <v>2823487</v>
      </c>
      <c r="D222" s="11">
        <f t="shared" si="202"/>
        <v>2823487</v>
      </c>
      <c r="E222" s="12">
        <f t="shared" si="194"/>
        <v>6.55223239310048</v>
      </c>
      <c r="F222" s="22">
        <f t="shared" si="203"/>
        <v>205.56876592646523</v>
      </c>
      <c r="G222" s="13">
        <v>7480</v>
      </c>
      <c r="H222" s="10">
        <f t="shared" si="204"/>
        <v>7480</v>
      </c>
      <c r="I222" s="11">
        <f t="shared" si="195"/>
        <v>6255</v>
      </c>
      <c r="J222" s="22">
        <f t="shared" si="196"/>
        <v>54.459410265744445</v>
      </c>
      <c r="K222" s="22">
        <f t="shared" si="197"/>
        <v>205.56876592646523</v>
      </c>
      <c r="L222" s="22">
        <f t="shared" si="198"/>
        <v>205.56876592646523</v>
      </c>
      <c r="M222" s="11">
        <f t="shared" si="199"/>
        <v>1537654.36912996</v>
      </c>
      <c r="N222" s="11">
        <f t="shared" si="200"/>
        <v>1285832.63087004</v>
      </c>
      <c r="O222" s="65">
        <f t="shared" si="201"/>
        <v>205.56876592646523</v>
      </c>
    </row>
    <row r="223" spans="1:15" ht="12.75">
      <c r="A223" t="s">
        <v>391</v>
      </c>
      <c r="B223" s="11">
        <v>20095</v>
      </c>
      <c r="C223" s="11">
        <v>2843182</v>
      </c>
      <c r="D223" s="11">
        <f t="shared" si="202"/>
        <v>2843182</v>
      </c>
      <c r="E223" s="12">
        <f t="shared" si="194"/>
        <v>6.597936948135483</v>
      </c>
      <c r="F223" s="22">
        <f t="shared" si="203"/>
        <v>141.48703657626274</v>
      </c>
      <c r="G223" s="13">
        <v>8640</v>
      </c>
      <c r="H223" s="10">
        <f t="shared" si="204"/>
        <v>8640</v>
      </c>
      <c r="I223" s="11">
        <f t="shared" si="195"/>
        <v>11455</v>
      </c>
      <c r="J223" s="22">
        <f t="shared" si="196"/>
        <v>42.9957700920627</v>
      </c>
      <c r="K223" s="22">
        <f t="shared" si="197"/>
        <v>141.48703657626274</v>
      </c>
      <c r="L223" s="22">
        <f t="shared" si="198"/>
        <v>141.48703657626274</v>
      </c>
      <c r="M223" s="11">
        <f t="shared" si="199"/>
        <v>1222447.99601891</v>
      </c>
      <c r="N223" s="11">
        <f t="shared" si="200"/>
        <v>1620734.0039810897</v>
      </c>
      <c r="O223" s="65">
        <f t="shared" si="201"/>
        <v>141.48703657626274</v>
      </c>
    </row>
    <row r="224" spans="1:15" ht="12.75">
      <c r="A224" t="s">
        <v>392</v>
      </c>
      <c r="B224" s="11">
        <v>30721</v>
      </c>
      <c r="C224" s="11">
        <v>2935488</v>
      </c>
      <c r="D224" s="11">
        <f t="shared" si="202"/>
        <v>2935488</v>
      </c>
      <c r="E224" s="12">
        <f t="shared" si="194"/>
        <v>6.812143836028905</v>
      </c>
      <c r="F224" s="22">
        <f t="shared" si="203"/>
        <v>95.55313954623873</v>
      </c>
      <c r="G224" s="13">
        <v>17670</v>
      </c>
      <c r="H224" s="10">
        <f t="shared" si="204"/>
        <v>17670</v>
      </c>
      <c r="I224" s="11">
        <f t="shared" si="195"/>
        <v>13051</v>
      </c>
      <c r="J224" s="22">
        <f t="shared" si="196"/>
        <v>57.51765893037336</v>
      </c>
      <c r="K224" s="22">
        <f t="shared" si="197"/>
        <v>95.55313954623873</v>
      </c>
      <c r="L224" s="22">
        <f t="shared" si="198"/>
        <v>95.55313954623873</v>
      </c>
      <c r="M224" s="11">
        <f t="shared" si="199"/>
        <v>1688423.9757820382</v>
      </c>
      <c r="N224" s="11">
        <f t="shared" si="200"/>
        <v>1247064.0242179616</v>
      </c>
      <c r="O224" s="65">
        <f t="shared" si="201"/>
        <v>95.55313954623873</v>
      </c>
    </row>
    <row r="225" spans="1:15" ht="12.75">
      <c r="A225" t="s">
        <v>393</v>
      </c>
      <c r="B225" s="11">
        <v>41862</v>
      </c>
      <c r="C225" s="11">
        <v>2723445</v>
      </c>
      <c r="D225" s="11">
        <f t="shared" si="202"/>
        <v>2723445</v>
      </c>
      <c r="E225" s="12">
        <f t="shared" si="194"/>
        <v>6.320073210830274</v>
      </c>
      <c r="F225" s="22">
        <f t="shared" si="203"/>
        <v>65.05768955138312</v>
      </c>
      <c r="G225" s="13">
        <v>27170</v>
      </c>
      <c r="H225" s="10">
        <f t="shared" si="204"/>
        <v>27170</v>
      </c>
      <c r="I225" s="11">
        <f t="shared" si="195"/>
        <v>14692</v>
      </c>
      <c r="J225" s="22">
        <f t="shared" si="196"/>
        <v>64.90373130762983</v>
      </c>
      <c r="K225" s="22">
        <f t="shared" si="197"/>
        <v>65.05768955138312</v>
      </c>
      <c r="L225" s="22">
        <f t="shared" si="198"/>
        <v>65.05768955138312</v>
      </c>
      <c r="M225" s="11">
        <f t="shared" si="199"/>
        <v>1767617.4251110794</v>
      </c>
      <c r="N225" s="11">
        <f t="shared" si="200"/>
        <v>955827.5748889208</v>
      </c>
      <c r="O225" s="65">
        <f t="shared" si="201"/>
        <v>65.05768955138312</v>
      </c>
    </row>
    <row r="226" spans="1:15" ht="12.75">
      <c r="A226" t="s">
        <v>394</v>
      </c>
      <c r="B226" s="11">
        <v>57307</v>
      </c>
      <c r="C226" s="11">
        <v>2476766</v>
      </c>
      <c r="D226" s="11">
        <f t="shared" si="202"/>
        <v>2476766</v>
      </c>
      <c r="E226" s="12">
        <f t="shared" si="194"/>
        <v>5.7476256895568865</v>
      </c>
      <c r="F226" s="22">
        <f t="shared" si="203"/>
        <v>43.21925768230757</v>
      </c>
      <c r="G226" s="13">
        <v>32472</v>
      </c>
      <c r="H226" s="10">
        <f t="shared" si="204"/>
        <v>32472</v>
      </c>
      <c r="I226" s="11">
        <f t="shared" si="195"/>
        <v>24835</v>
      </c>
      <c r="J226" s="22">
        <f t="shared" si="196"/>
        <v>56.66323485787077</v>
      </c>
      <c r="K226" s="22">
        <f t="shared" si="197"/>
        <v>43.21925768230757</v>
      </c>
      <c r="L226" s="22">
        <f t="shared" si="198"/>
        <v>43.21925768230757</v>
      </c>
      <c r="M226" s="11">
        <f t="shared" si="199"/>
        <v>1403415.7354598914</v>
      </c>
      <c r="N226" s="11">
        <f t="shared" si="200"/>
        <v>1073350.2645401086</v>
      </c>
      <c r="O226" s="65">
        <f t="shared" si="201"/>
        <v>43.21925768230757</v>
      </c>
    </row>
    <row r="227" spans="1:15" ht="12.75">
      <c r="A227" t="s">
        <v>395</v>
      </c>
      <c r="B227" s="11">
        <v>42793</v>
      </c>
      <c r="C227" s="11">
        <v>1145584</v>
      </c>
      <c r="D227" s="11">
        <f t="shared" si="202"/>
        <v>1145584</v>
      </c>
      <c r="E227" s="12">
        <f t="shared" si="194"/>
        <v>2.6584618926234196</v>
      </c>
      <c r="F227" s="22">
        <f t="shared" si="203"/>
        <v>26.770359638258594</v>
      </c>
      <c r="G227" s="13">
        <v>22532</v>
      </c>
      <c r="H227" s="10">
        <f t="shared" si="204"/>
        <v>22532</v>
      </c>
      <c r="I227" s="11">
        <f t="shared" si="195"/>
        <v>20261</v>
      </c>
      <c r="J227" s="22">
        <f t="shared" si="196"/>
        <v>52.65347136213867</v>
      </c>
      <c r="K227" s="22">
        <f t="shared" si="197"/>
        <v>26.770359638258594</v>
      </c>
      <c r="L227" s="22">
        <f t="shared" si="198"/>
        <v>26.770359638258594</v>
      </c>
      <c r="M227" s="11">
        <f t="shared" si="199"/>
        <v>603189.7433692426</v>
      </c>
      <c r="N227" s="11">
        <f t="shared" si="200"/>
        <v>542394.2566307574</v>
      </c>
      <c r="O227" s="65">
        <f t="shared" si="201"/>
        <v>26.770359638258594</v>
      </c>
    </row>
    <row r="228" spans="1:15" ht="12.75">
      <c r="A228" t="s">
        <v>491</v>
      </c>
      <c r="B228" s="11">
        <v>88906</v>
      </c>
      <c r="C228" s="11">
        <v>1374584</v>
      </c>
      <c r="D228" s="11">
        <f t="shared" si="202"/>
        <v>1374584</v>
      </c>
      <c r="E228" s="12">
        <f t="shared" si="194"/>
        <v>3.1898832230634073</v>
      </c>
      <c r="F228" s="22">
        <f t="shared" si="203"/>
        <v>15.461093739455155</v>
      </c>
      <c r="G228" s="11">
        <v>53392</v>
      </c>
      <c r="H228" s="10">
        <f t="shared" si="204"/>
        <v>53392</v>
      </c>
      <c r="I228" s="11">
        <f t="shared" si="195"/>
        <v>35514</v>
      </c>
      <c r="J228" s="22">
        <f t="shared" si="196"/>
        <v>60.05443952039232</v>
      </c>
      <c r="K228" s="22">
        <f t="shared" si="197"/>
        <v>15.461093739455155</v>
      </c>
      <c r="L228" s="22">
        <f t="shared" si="198"/>
        <v>15.461093739455155</v>
      </c>
      <c r="M228" s="11">
        <f t="shared" si="199"/>
        <v>825498.7169369896</v>
      </c>
      <c r="N228" s="11">
        <f t="shared" si="200"/>
        <v>549085.2830630103</v>
      </c>
      <c r="O228" s="65">
        <f t="shared" si="201"/>
        <v>15.461093739455153</v>
      </c>
    </row>
    <row r="229" spans="1:15" ht="12.75">
      <c r="A229" t="s">
        <v>493</v>
      </c>
      <c r="B229" s="11">
        <v>169403</v>
      </c>
      <c r="C229" s="11">
        <f>787464+306449+69137</f>
        <v>1163050</v>
      </c>
      <c r="D229" s="11">
        <f t="shared" si="202"/>
        <v>1163050</v>
      </c>
      <c r="E229" s="12">
        <f t="shared" si="194"/>
        <v>2.698993792000995</v>
      </c>
      <c r="F229" s="22">
        <f>D229/B229</f>
        <v>6.865580892900362</v>
      </c>
      <c r="G229" s="13">
        <f>52287+55789</f>
        <v>108076</v>
      </c>
      <c r="H229" s="10">
        <f t="shared" si="204"/>
        <v>108076</v>
      </c>
      <c r="I229" s="11">
        <f t="shared" si="195"/>
        <v>61327</v>
      </c>
      <c r="J229" s="22">
        <f t="shared" si="196"/>
        <v>63.79816177989764</v>
      </c>
      <c r="K229" s="22">
        <f>F229</f>
        <v>6.865580892900362</v>
      </c>
      <c r="L229" s="22">
        <f>F229</f>
        <v>6.865580892900362</v>
      </c>
      <c r="M229" s="11">
        <f t="shared" si="199"/>
        <v>742004.5205810996</v>
      </c>
      <c r="N229" s="11">
        <f t="shared" si="200"/>
        <v>421045.4794189005</v>
      </c>
      <c r="O229" s="65">
        <f t="shared" si="201"/>
        <v>6.865580892900362</v>
      </c>
    </row>
    <row r="230" spans="1:15" ht="12.75">
      <c r="A230" t="s">
        <v>18</v>
      </c>
      <c r="B230" s="11">
        <f>SUM(B216:B229)</f>
        <v>509546</v>
      </c>
      <c r="C230" s="11">
        <f>SUM(C216:C229)</f>
        <v>43091985</v>
      </c>
      <c r="D230" s="11">
        <f t="shared" si="202"/>
        <v>43091985</v>
      </c>
      <c r="E230" s="12">
        <f t="shared" si="194"/>
        <v>100</v>
      </c>
      <c r="F230" s="22">
        <f t="shared" si="203"/>
        <v>84.56937155821065</v>
      </c>
      <c r="G230" s="13">
        <f>SUM(G216:G229)</f>
        <v>293971</v>
      </c>
      <c r="H230" s="10">
        <f t="shared" si="204"/>
        <v>293971</v>
      </c>
      <c r="I230" s="11">
        <f t="shared" si="195"/>
        <v>215575</v>
      </c>
      <c r="J230" s="22">
        <f t="shared" si="196"/>
        <v>57.692730391368</v>
      </c>
      <c r="K230" s="22">
        <f>M230/H230</f>
        <v>60.53330130006813</v>
      </c>
      <c r="L230" s="65">
        <f>N230/I230</f>
        <v>117.3463986246906</v>
      </c>
      <c r="M230" s="11">
        <f>SUM(M216:M229)</f>
        <v>17795035.11648233</v>
      </c>
      <c r="N230" s="11">
        <f>SUM(N216:N229)</f>
        <v>25296949.883517675</v>
      </c>
      <c r="O230" s="65">
        <f>K230*H230/G229</f>
        <v>164.65297676155973</v>
      </c>
    </row>
    <row r="231" ht="12.75">
      <c r="G231" s="13"/>
    </row>
    <row r="232" spans="1:15" ht="12.75">
      <c r="A232" s="1" t="s">
        <v>499</v>
      </c>
      <c r="B232" s="21"/>
      <c r="C232" s="21"/>
      <c r="D232" s="21"/>
      <c r="E232" s="21"/>
      <c r="F232" s="21"/>
      <c r="K232" s="69" t="s">
        <v>411</v>
      </c>
      <c r="L232" s="69"/>
      <c r="M232" s="69"/>
      <c r="N232" s="69"/>
      <c r="O232" s="69"/>
    </row>
    <row r="233" spans="1:15" ht="12.75">
      <c r="A233" s="18" t="s">
        <v>492</v>
      </c>
      <c r="B233" t="s">
        <v>383</v>
      </c>
      <c r="C233" t="s">
        <v>489</v>
      </c>
      <c r="D233" t="s">
        <v>489</v>
      </c>
      <c r="F233" t="s">
        <v>398</v>
      </c>
      <c r="G233" t="s">
        <v>401</v>
      </c>
      <c r="H233" t="s">
        <v>400</v>
      </c>
      <c r="I233" t="s">
        <v>402</v>
      </c>
      <c r="J233" t="s">
        <v>403</v>
      </c>
      <c r="K233" t="s">
        <v>406</v>
      </c>
      <c r="L233" t="s">
        <v>407</v>
      </c>
      <c r="M233" t="s">
        <v>404</v>
      </c>
      <c r="N233" t="s">
        <v>405</v>
      </c>
      <c r="O233" t="s">
        <v>406</v>
      </c>
    </row>
    <row r="234" spans="1:15" ht="12.75">
      <c r="A234" t="s">
        <v>384</v>
      </c>
      <c r="B234" s="11">
        <v>103</v>
      </c>
      <c r="C234" s="11">
        <v>196735</v>
      </c>
      <c r="D234" s="11">
        <f>C234</f>
        <v>196735</v>
      </c>
      <c r="E234" s="12">
        <f>100*D234/D$249</f>
        <v>9.237009450404159</v>
      </c>
      <c r="F234" s="22">
        <f>D234/B234</f>
        <v>1910.0485436893205</v>
      </c>
      <c r="G234" s="13">
        <v>0</v>
      </c>
      <c r="H234" s="10">
        <f>G234</f>
        <v>0</v>
      </c>
      <c r="I234" s="11">
        <f aca="true" t="shared" si="205" ref="I234:I249">B234-H234</f>
        <v>103</v>
      </c>
      <c r="J234" s="22">
        <f aca="true" t="shared" si="206" ref="J234:J249">100*H234/B234</f>
        <v>0</v>
      </c>
      <c r="K234" s="22">
        <f aca="true" t="shared" si="207" ref="K234:K248">F234</f>
        <v>1910.0485436893205</v>
      </c>
      <c r="L234" s="22">
        <f aca="true" t="shared" si="208" ref="L234:L248">F234</f>
        <v>1910.0485436893205</v>
      </c>
      <c r="M234" s="11">
        <f aca="true" t="shared" si="209" ref="M234:M248">H234*K234</f>
        <v>0</v>
      </c>
      <c r="N234" s="11">
        <f aca="true" t="shared" si="210" ref="N234:N248">I234*L234</f>
        <v>196735</v>
      </c>
      <c r="O234" s="65" t="e">
        <f aca="true" t="shared" si="211" ref="O234:O248">K234*H234/G234</f>
        <v>#DIV/0!</v>
      </c>
    </row>
    <row r="235" spans="1:15" ht="12.75">
      <c r="A235" t="s">
        <v>385</v>
      </c>
      <c r="B235" s="11">
        <v>283</v>
      </c>
      <c r="C235" s="11">
        <v>225486</v>
      </c>
      <c r="D235" s="11">
        <f aca="true" t="shared" si="212" ref="D235:D249">C235</f>
        <v>225486</v>
      </c>
      <c r="E235" s="12">
        <f aca="true" t="shared" si="213" ref="E235:E249">100*D235/D$249</f>
        <v>10.586912918056433</v>
      </c>
      <c r="F235" s="22">
        <f aca="true" t="shared" si="214" ref="F235:F249">D235/B235</f>
        <v>796.7703180212014</v>
      </c>
      <c r="G235" s="13">
        <v>0</v>
      </c>
      <c r="H235" s="10">
        <f aca="true" t="shared" si="215" ref="H235:H249">G235</f>
        <v>0</v>
      </c>
      <c r="I235" s="11">
        <f t="shared" si="205"/>
        <v>283</v>
      </c>
      <c r="J235" s="22">
        <f t="shared" si="206"/>
        <v>0</v>
      </c>
      <c r="K235" s="22">
        <f t="shared" si="207"/>
        <v>796.7703180212014</v>
      </c>
      <c r="L235" s="22">
        <f t="shared" si="208"/>
        <v>796.7703180212014</v>
      </c>
      <c r="M235" s="11">
        <f t="shared" si="209"/>
        <v>0</v>
      </c>
      <c r="N235" s="11">
        <f t="shared" si="210"/>
        <v>225486</v>
      </c>
      <c r="O235" s="65" t="e">
        <f t="shared" si="211"/>
        <v>#DIV/0!</v>
      </c>
    </row>
    <row r="236" spans="1:15" ht="12.75">
      <c r="A236" t="s">
        <v>386</v>
      </c>
      <c r="B236" s="11">
        <v>438</v>
      </c>
      <c r="C236" s="11">
        <v>195168</v>
      </c>
      <c r="D236" s="11">
        <f t="shared" si="212"/>
        <v>195168</v>
      </c>
      <c r="E236" s="12">
        <f t="shared" si="213"/>
        <v>9.163436401334176</v>
      </c>
      <c r="F236" s="22">
        <f t="shared" si="214"/>
        <v>445.5890410958904</v>
      </c>
      <c r="G236" s="13">
        <v>175</v>
      </c>
      <c r="H236" s="10">
        <f t="shared" si="215"/>
        <v>175</v>
      </c>
      <c r="I236" s="11">
        <f t="shared" si="205"/>
        <v>263</v>
      </c>
      <c r="J236" s="22">
        <f t="shared" si="206"/>
        <v>39.954337899543376</v>
      </c>
      <c r="K236" s="22">
        <f t="shared" si="207"/>
        <v>445.5890410958904</v>
      </c>
      <c r="L236" s="22">
        <f t="shared" si="208"/>
        <v>445.5890410958904</v>
      </c>
      <c r="M236" s="11">
        <f t="shared" si="209"/>
        <v>77978.08219178082</v>
      </c>
      <c r="N236" s="11">
        <f t="shared" si="210"/>
        <v>117189.91780821918</v>
      </c>
      <c r="O236" s="65">
        <f t="shared" si="211"/>
        <v>445.5890410958904</v>
      </c>
    </row>
    <row r="237" spans="1:15" ht="12.75">
      <c r="A237" t="s">
        <v>387</v>
      </c>
      <c r="B237" s="11">
        <v>468</v>
      </c>
      <c r="C237" s="11">
        <v>156283</v>
      </c>
      <c r="D237" s="11">
        <f t="shared" si="212"/>
        <v>156283</v>
      </c>
      <c r="E237" s="12">
        <f t="shared" si="213"/>
        <v>7.337726118573275</v>
      </c>
      <c r="F237" s="22">
        <f t="shared" si="214"/>
        <v>333.9380341880342</v>
      </c>
      <c r="G237" s="13">
        <v>0</v>
      </c>
      <c r="H237" s="10">
        <f t="shared" si="215"/>
        <v>0</v>
      </c>
      <c r="I237" s="11">
        <f t="shared" si="205"/>
        <v>468</v>
      </c>
      <c r="J237" s="22">
        <f t="shared" si="206"/>
        <v>0</v>
      </c>
      <c r="K237" s="22">
        <f t="shared" si="207"/>
        <v>333.9380341880342</v>
      </c>
      <c r="L237" s="22">
        <f t="shared" si="208"/>
        <v>333.9380341880342</v>
      </c>
      <c r="M237" s="11">
        <f t="shared" si="209"/>
        <v>0</v>
      </c>
      <c r="N237" s="11">
        <f t="shared" si="210"/>
        <v>156283</v>
      </c>
      <c r="O237" s="65" t="e">
        <f t="shared" si="211"/>
        <v>#DIV/0!</v>
      </c>
    </row>
    <row r="238" spans="1:15" ht="12.75">
      <c r="A238" t="s">
        <v>496</v>
      </c>
      <c r="B238" s="11">
        <f>SUM(B234:B237)</f>
        <v>1292</v>
      </c>
      <c r="C238" s="11">
        <f>SUM(C234:C237)</f>
        <v>773672</v>
      </c>
      <c r="D238" s="11">
        <f t="shared" si="212"/>
        <v>773672</v>
      </c>
      <c r="E238" s="12">
        <f t="shared" si="213"/>
        <v>36.32508488836804</v>
      </c>
      <c r="F238" s="22">
        <f t="shared" si="214"/>
        <v>598.8173374613003</v>
      </c>
      <c r="G238" s="11">
        <f>SUM(G234:G237)</f>
        <v>175</v>
      </c>
      <c r="H238" s="10">
        <f t="shared" si="215"/>
        <v>175</v>
      </c>
      <c r="I238" s="11">
        <f t="shared" si="205"/>
        <v>1117</v>
      </c>
      <c r="J238" s="22">
        <f t="shared" si="206"/>
        <v>13.544891640866872</v>
      </c>
      <c r="K238" s="22">
        <f>F238</f>
        <v>598.8173374613003</v>
      </c>
      <c r="L238" s="22">
        <f>F238</f>
        <v>598.8173374613003</v>
      </c>
      <c r="M238" s="11">
        <f>H238*K238</f>
        <v>104793.03405572756</v>
      </c>
      <c r="N238" s="11">
        <f>I238*L238</f>
        <v>668878.9659442725</v>
      </c>
      <c r="O238" s="65">
        <f>K238*H238/G238</f>
        <v>598.8173374613003</v>
      </c>
    </row>
    <row r="239" spans="1:15" ht="12.75">
      <c r="A239" t="s">
        <v>388</v>
      </c>
      <c r="B239" s="11">
        <v>473</v>
      </c>
      <c r="C239" s="11">
        <v>156157</v>
      </c>
      <c r="D239" s="11">
        <f t="shared" si="212"/>
        <v>156157</v>
      </c>
      <c r="E239" s="12">
        <f t="shared" si="213"/>
        <v>7.331810225667839</v>
      </c>
      <c r="F239" s="22">
        <f t="shared" si="214"/>
        <v>330.14164904862577</v>
      </c>
      <c r="G239" s="13">
        <v>265</v>
      </c>
      <c r="H239" s="10">
        <f t="shared" si="215"/>
        <v>265</v>
      </c>
      <c r="I239" s="11">
        <f t="shared" si="205"/>
        <v>208</v>
      </c>
      <c r="J239" s="22">
        <f t="shared" si="206"/>
        <v>56.02536997885835</v>
      </c>
      <c r="K239" s="22">
        <f t="shared" si="207"/>
        <v>330.14164904862577</v>
      </c>
      <c r="L239" s="22">
        <f t="shared" si="208"/>
        <v>330.14164904862577</v>
      </c>
      <c r="M239" s="11">
        <f t="shared" si="209"/>
        <v>87487.53699788582</v>
      </c>
      <c r="N239" s="11">
        <f t="shared" si="210"/>
        <v>68669.46300211416</v>
      </c>
      <c r="O239" s="65">
        <f t="shared" si="211"/>
        <v>330.14164904862577</v>
      </c>
    </row>
    <row r="240" spans="1:15" ht="12.75">
      <c r="A240" t="s">
        <v>389</v>
      </c>
      <c r="B240" s="11">
        <v>692</v>
      </c>
      <c r="C240" s="11">
        <v>151285</v>
      </c>
      <c r="D240" s="11">
        <f t="shared" si="212"/>
        <v>151285</v>
      </c>
      <c r="E240" s="12">
        <f t="shared" si="213"/>
        <v>7.103062366657652</v>
      </c>
      <c r="F240" s="22">
        <f t="shared" si="214"/>
        <v>218.61994219653178</v>
      </c>
      <c r="G240" s="13">
        <v>9</v>
      </c>
      <c r="H240" s="10">
        <f t="shared" si="215"/>
        <v>9</v>
      </c>
      <c r="I240" s="11">
        <f t="shared" si="205"/>
        <v>683</v>
      </c>
      <c r="J240" s="22">
        <f t="shared" si="206"/>
        <v>1.300578034682081</v>
      </c>
      <c r="K240" s="22">
        <f t="shared" si="207"/>
        <v>218.61994219653178</v>
      </c>
      <c r="L240" s="22">
        <f t="shared" si="208"/>
        <v>218.61994219653178</v>
      </c>
      <c r="M240" s="11">
        <f t="shared" si="209"/>
        <v>1967.579479768786</v>
      </c>
      <c r="N240" s="11">
        <f t="shared" si="210"/>
        <v>149317.42052023122</v>
      </c>
      <c r="O240" s="65">
        <f t="shared" si="211"/>
        <v>218.61994219653178</v>
      </c>
    </row>
    <row r="241" spans="1:15" ht="12.75">
      <c r="A241" t="s">
        <v>390</v>
      </c>
      <c r="B241" s="11">
        <v>623</v>
      </c>
      <c r="C241" s="11">
        <v>116402</v>
      </c>
      <c r="D241" s="11">
        <f t="shared" si="212"/>
        <v>116402</v>
      </c>
      <c r="E241" s="12">
        <f t="shared" si="213"/>
        <v>5.465252110940834</v>
      </c>
      <c r="F241" s="22">
        <f t="shared" si="214"/>
        <v>186.84109149277688</v>
      </c>
      <c r="G241" s="13">
        <v>306</v>
      </c>
      <c r="H241" s="10">
        <f t="shared" si="215"/>
        <v>306</v>
      </c>
      <c r="I241" s="11">
        <f t="shared" si="205"/>
        <v>317</v>
      </c>
      <c r="J241" s="22">
        <f t="shared" si="206"/>
        <v>49.11717495987159</v>
      </c>
      <c r="K241" s="22">
        <f t="shared" si="207"/>
        <v>186.84109149277688</v>
      </c>
      <c r="L241" s="22">
        <f t="shared" si="208"/>
        <v>186.84109149277688</v>
      </c>
      <c r="M241" s="11">
        <f t="shared" si="209"/>
        <v>57173.37399678973</v>
      </c>
      <c r="N241" s="11">
        <f t="shared" si="210"/>
        <v>59228.62600321027</v>
      </c>
      <c r="O241" s="65">
        <f t="shared" si="211"/>
        <v>186.84109149277688</v>
      </c>
    </row>
    <row r="242" spans="1:15" ht="12.75">
      <c r="A242" t="s">
        <v>391</v>
      </c>
      <c r="B242" s="11">
        <v>744</v>
      </c>
      <c r="C242" s="11">
        <v>102922</v>
      </c>
      <c r="D242" s="11">
        <f t="shared" si="212"/>
        <v>102922</v>
      </c>
      <c r="E242" s="12">
        <f t="shared" si="213"/>
        <v>4.832345473121188</v>
      </c>
      <c r="F242" s="22">
        <f t="shared" si="214"/>
        <v>138.33602150537635</v>
      </c>
      <c r="G242" s="13">
        <v>156</v>
      </c>
      <c r="H242" s="10">
        <f t="shared" si="215"/>
        <v>156</v>
      </c>
      <c r="I242" s="11">
        <f t="shared" si="205"/>
        <v>588</v>
      </c>
      <c r="J242" s="22">
        <f t="shared" si="206"/>
        <v>20.967741935483872</v>
      </c>
      <c r="K242" s="22">
        <f t="shared" si="207"/>
        <v>138.33602150537635</v>
      </c>
      <c r="L242" s="22">
        <f t="shared" si="208"/>
        <v>138.33602150537635</v>
      </c>
      <c r="M242" s="11">
        <f t="shared" si="209"/>
        <v>21580.419354838712</v>
      </c>
      <c r="N242" s="11">
        <f t="shared" si="210"/>
        <v>81341.58064516129</v>
      </c>
      <c r="O242" s="65">
        <f t="shared" si="211"/>
        <v>138.33602150537635</v>
      </c>
    </row>
    <row r="243" spans="1:15" ht="12.75">
      <c r="A243" t="s">
        <v>392</v>
      </c>
      <c r="B243" s="11">
        <v>916</v>
      </c>
      <c r="C243" s="11">
        <v>94837</v>
      </c>
      <c r="D243" s="11">
        <f t="shared" si="212"/>
        <v>94837</v>
      </c>
      <c r="E243" s="12">
        <f t="shared" si="213"/>
        <v>4.452742345022386</v>
      </c>
      <c r="F243" s="22">
        <f t="shared" si="214"/>
        <v>103.53384279475982</v>
      </c>
      <c r="G243" s="13">
        <v>770</v>
      </c>
      <c r="H243" s="10">
        <f t="shared" si="215"/>
        <v>770</v>
      </c>
      <c r="I243" s="11">
        <f t="shared" si="205"/>
        <v>146</v>
      </c>
      <c r="J243" s="22">
        <f t="shared" si="206"/>
        <v>84.06113537117903</v>
      </c>
      <c r="K243" s="22">
        <f t="shared" si="207"/>
        <v>103.53384279475982</v>
      </c>
      <c r="L243" s="22">
        <f t="shared" si="208"/>
        <v>103.53384279475982</v>
      </c>
      <c r="M243" s="11">
        <f t="shared" si="209"/>
        <v>79721.05895196507</v>
      </c>
      <c r="N243" s="11">
        <f t="shared" si="210"/>
        <v>15115.941048034934</v>
      </c>
      <c r="O243" s="65">
        <f t="shared" si="211"/>
        <v>103.53384279475983</v>
      </c>
    </row>
    <row r="244" spans="1:15" ht="12.75">
      <c r="A244" t="s">
        <v>393</v>
      </c>
      <c r="B244" s="11">
        <v>1183</v>
      </c>
      <c r="C244" s="11">
        <v>85993</v>
      </c>
      <c r="D244" s="11">
        <f t="shared" si="212"/>
        <v>85993</v>
      </c>
      <c r="E244" s="12">
        <f t="shared" si="213"/>
        <v>4.037503004897983</v>
      </c>
      <c r="F244" s="22">
        <f t="shared" si="214"/>
        <v>72.69061707523245</v>
      </c>
      <c r="G244" s="13">
        <v>255</v>
      </c>
      <c r="H244" s="10">
        <f t="shared" si="215"/>
        <v>255</v>
      </c>
      <c r="I244" s="11">
        <f t="shared" si="205"/>
        <v>928</v>
      </c>
      <c r="J244" s="22">
        <f t="shared" si="206"/>
        <v>21.55536770921386</v>
      </c>
      <c r="K244" s="22">
        <f t="shared" si="207"/>
        <v>72.69061707523245</v>
      </c>
      <c r="L244" s="22">
        <f t="shared" si="208"/>
        <v>72.69061707523245</v>
      </c>
      <c r="M244" s="11">
        <f t="shared" si="209"/>
        <v>18536.107354184274</v>
      </c>
      <c r="N244" s="11">
        <f t="shared" si="210"/>
        <v>67456.89264581572</v>
      </c>
      <c r="O244" s="65">
        <f t="shared" si="211"/>
        <v>72.69061707523245</v>
      </c>
    </row>
    <row r="245" spans="1:15" ht="12.75">
      <c r="A245" t="s">
        <v>394</v>
      </c>
      <c r="B245" s="11">
        <v>1693</v>
      </c>
      <c r="C245" s="11">
        <v>80347</v>
      </c>
      <c r="D245" s="11">
        <f t="shared" si="212"/>
        <v>80347</v>
      </c>
      <c r="E245" s="12">
        <f t="shared" si="213"/>
        <v>3.7724146608972626</v>
      </c>
      <c r="F245" s="22">
        <f t="shared" si="214"/>
        <v>47.45835794447726</v>
      </c>
      <c r="G245" s="13">
        <v>1161</v>
      </c>
      <c r="H245" s="10">
        <f t="shared" si="215"/>
        <v>1161</v>
      </c>
      <c r="I245" s="11">
        <f t="shared" si="205"/>
        <v>532</v>
      </c>
      <c r="J245" s="22">
        <f t="shared" si="206"/>
        <v>68.57649143532191</v>
      </c>
      <c r="K245" s="22">
        <f t="shared" si="207"/>
        <v>47.45835794447726</v>
      </c>
      <c r="L245" s="22">
        <f t="shared" si="208"/>
        <v>47.45835794447726</v>
      </c>
      <c r="M245" s="11">
        <f t="shared" si="209"/>
        <v>55099.1535735381</v>
      </c>
      <c r="N245" s="11">
        <f t="shared" si="210"/>
        <v>25247.8464264619</v>
      </c>
      <c r="O245" s="65">
        <f t="shared" si="211"/>
        <v>47.45835794447726</v>
      </c>
    </row>
    <row r="246" spans="1:15" ht="12.75">
      <c r="A246" t="s">
        <v>395</v>
      </c>
      <c r="B246" s="11">
        <v>1474</v>
      </c>
      <c r="C246" s="11">
        <v>50880</v>
      </c>
      <c r="D246" s="11">
        <f t="shared" si="212"/>
        <v>50880</v>
      </c>
      <c r="E246" s="12">
        <f t="shared" si="213"/>
        <v>2.388893897052195</v>
      </c>
      <c r="F246" s="22">
        <f t="shared" si="214"/>
        <v>34.51831750339213</v>
      </c>
      <c r="G246" s="13">
        <v>798</v>
      </c>
      <c r="H246" s="10">
        <f t="shared" si="215"/>
        <v>798</v>
      </c>
      <c r="I246" s="11">
        <f t="shared" si="205"/>
        <v>676</v>
      </c>
      <c r="J246" s="22">
        <f t="shared" si="206"/>
        <v>54.13839891451832</v>
      </c>
      <c r="K246" s="22">
        <f t="shared" si="207"/>
        <v>34.51831750339213</v>
      </c>
      <c r="L246" s="22">
        <f t="shared" si="208"/>
        <v>34.51831750339213</v>
      </c>
      <c r="M246" s="11">
        <f t="shared" si="209"/>
        <v>27545.617367706924</v>
      </c>
      <c r="N246" s="11">
        <f t="shared" si="210"/>
        <v>23334.382632293084</v>
      </c>
      <c r="O246" s="65">
        <f t="shared" si="211"/>
        <v>34.51831750339213</v>
      </c>
    </row>
    <row r="247" spans="1:15" ht="12.75">
      <c r="A247" t="s">
        <v>491</v>
      </c>
      <c r="B247" s="11">
        <v>2990</v>
      </c>
      <c r="C247" s="11">
        <v>57747</v>
      </c>
      <c r="D247" s="11">
        <f t="shared" si="212"/>
        <v>57747</v>
      </c>
      <c r="E247" s="12">
        <f t="shared" si="213"/>
        <v>2.7113100603984495</v>
      </c>
      <c r="F247" s="22">
        <f t="shared" si="214"/>
        <v>19.313377926421406</v>
      </c>
      <c r="G247" s="11">
        <v>2211</v>
      </c>
      <c r="H247" s="10">
        <f t="shared" si="215"/>
        <v>2211</v>
      </c>
      <c r="I247" s="11">
        <f t="shared" si="205"/>
        <v>779</v>
      </c>
      <c r="J247" s="22">
        <f t="shared" si="206"/>
        <v>73.94648829431438</v>
      </c>
      <c r="K247" s="22">
        <f t="shared" si="207"/>
        <v>19.313377926421406</v>
      </c>
      <c r="L247" s="22">
        <f t="shared" si="208"/>
        <v>19.313377926421406</v>
      </c>
      <c r="M247" s="11">
        <f t="shared" si="209"/>
        <v>42701.87859531773</v>
      </c>
      <c r="N247" s="11">
        <f t="shared" si="210"/>
        <v>15045.121404682275</v>
      </c>
      <c r="O247" s="65">
        <f t="shared" si="211"/>
        <v>19.313377926421406</v>
      </c>
    </row>
    <row r="248" spans="1:15" ht="12.75">
      <c r="A248" t="s">
        <v>493</v>
      </c>
      <c r="B248" s="11">
        <v>6511</v>
      </c>
      <c r="C248" s="11">
        <f>34465+10614+1174</f>
        <v>46253</v>
      </c>
      <c r="D248" s="11">
        <f t="shared" si="212"/>
        <v>46253</v>
      </c>
      <c r="E248" s="12">
        <f t="shared" si="213"/>
        <v>2.1716491631359114</v>
      </c>
      <c r="F248" s="22">
        <f t="shared" si="214"/>
        <v>7.103824297342958</v>
      </c>
      <c r="G248" s="13">
        <f>1780+3096+810+126+9</f>
        <v>5821</v>
      </c>
      <c r="H248" s="10">
        <f t="shared" si="215"/>
        <v>5821</v>
      </c>
      <c r="I248" s="11">
        <f t="shared" si="205"/>
        <v>690</v>
      </c>
      <c r="J248" s="22">
        <f t="shared" si="206"/>
        <v>89.40254953156197</v>
      </c>
      <c r="K248" s="22">
        <f t="shared" si="207"/>
        <v>7.103824297342958</v>
      </c>
      <c r="L248" s="22">
        <f t="shared" si="208"/>
        <v>7.103824297342958</v>
      </c>
      <c r="M248" s="11">
        <f t="shared" si="209"/>
        <v>41351.361234833355</v>
      </c>
      <c r="N248" s="11">
        <f t="shared" si="210"/>
        <v>4901.638765166641</v>
      </c>
      <c r="O248" s="65">
        <f t="shared" si="211"/>
        <v>7.103824297342958</v>
      </c>
    </row>
    <row r="249" spans="1:15" ht="12.75">
      <c r="A249" t="s">
        <v>18</v>
      </c>
      <c r="B249" s="11">
        <f>SUM(B234:B248)</f>
        <v>19883</v>
      </c>
      <c r="C249" s="11">
        <v>2129856</v>
      </c>
      <c r="D249" s="11">
        <f t="shared" si="212"/>
        <v>2129856</v>
      </c>
      <c r="E249" s="12">
        <f t="shared" si="213"/>
        <v>100</v>
      </c>
      <c r="F249" s="22">
        <f t="shared" si="214"/>
        <v>107.11944877533571</v>
      </c>
      <c r="G249" s="11">
        <f>SUM(G234:G248)</f>
        <v>12102</v>
      </c>
      <c r="H249" s="10">
        <f t="shared" si="215"/>
        <v>12102</v>
      </c>
      <c r="I249" s="11">
        <f t="shared" si="205"/>
        <v>7781</v>
      </c>
      <c r="J249" s="22">
        <f t="shared" si="206"/>
        <v>60.86606648896042</v>
      </c>
      <c r="K249" s="22">
        <f>M249/H249</f>
        <v>50.89532334773897</v>
      </c>
      <c r="L249" s="65">
        <f>N249/I249</f>
        <v>240.8728694056886</v>
      </c>
      <c r="M249" s="11">
        <f>SUM(M234:M248)</f>
        <v>615935.203154337</v>
      </c>
      <c r="N249" s="11">
        <f>SUM(N234:N248)</f>
        <v>1874231.7968456629</v>
      </c>
      <c r="O249" s="65">
        <f>K249*H249/G248</f>
        <v>105.81261005915427</v>
      </c>
    </row>
    <row r="250" ht="12.75">
      <c r="G250" s="13"/>
    </row>
    <row r="251" ht="12.75">
      <c r="G251" s="13"/>
    </row>
    <row r="252" spans="2:15" ht="12.75">
      <c r="B252" s="21"/>
      <c r="C252" s="21"/>
      <c r="D252" s="21"/>
      <c r="E252" s="21"/>
      <c r="F252" s="21"/>
      <c r="K252" s="69" t="s">
        <v>411</v>
      </c>
      <c r="L252" s="69"/>
      <c r="M252" s="69"/>
      <c r="N252" s="69"/>
      <c r="O252" s="69"/>
    </row>
    <row r="253" spans="1:15" ht="12.75">
      <c r="A253" s="18" t="s">
        <v>497</v>
      </c>
      <c r="B253" t="s">
        <v>383</v>
      </c>
      <c r="C253" t="s">
        <v>489</v>
      </c>
      <c r="D253" t="s">
        <v>489</v>
      </c>
      <c r="F253" t="s">
        <v>398</v>
      </c>
      <c r="G253" t="s">
        <v>401</v>
      </c>
      <c r="H253" t="s">
        <v>400</v>
      </c>
      <c r="I253" t="s">
        <v>402</v>
      </c>
      <c r="J253" t="s">
        <v>403</v>
      </c>
      <c r="K253" t="s">
        <v>406</v>
      </c>
      <c r="L253" t="s">
        <v>407</v>
      </c>
      <c r="M253" t="s">
        <v>404</v>
      </c>
      <c r="N253" t="s">
        <v>405</v>
      </c>
      <c r="O253" t="s">
        <v>406</v>
      </c>
    </row>
    <row r="254" spans="1:15" ht="12.75">
      <c r="A254" t="s">
        <v>364</v>
      </c>
      <c r="B254" s="11">
        <f>8268+7206</f>
        <v>15474</v>
      </c>
      <c r="C254" s="11">
        <f>3277309+2116394</f>
        <v>5393703</v>
      </c>
      <c r="D254" s="11">
        <f>C254</f>
        <v>5393703</v>
      </c>
      <c r="E254" s="12">
        <f aca="true" t="shared" si="216" ref="E254:E261">100*D254/D$230</f>
        <v>12.516719756585825</v>
      </c>
      <c r="F254" s="22">
        <f>D254/B254</f>
        <v>348.56552927491276</v>
      </c>
      <c r="G254" s="13">
        <v>8298</v>
      </c>
      <c r="H254" s="10">
        <f>G254</f>
        <v>8298</v>
      </c>
      <c r="I254" s="11">
        <f aca="true" t="shared" si="217" ref="I254:I261">B254-H254</f>
        <v>7176</v>
      </c>
      <c r="J254" s="22">
        <f aca="true" t="shared" si="218" ref="J254:J261">100*H254/B254</f>
        <v>53.625436215587435</v>
      </c>
      <c r="K254" s="22">
        <f aca="true" t="shared" si="219" ref="K254:K260">F254</f>
        <v>348.56552927491276</v>
      </c>
      <c r="L254" s="22">
        <f aca="true" t="shared" si="220" ref="L254:L260">F254</f>
        <v>348.56552927491276</v>
      </c>
      <c r="M254" s="11">
        <f aca="true" t="shared" si="221" ref="M254:M260">H254*K254</f>
        <v>2892396.761923226</v>
      </c>
      <c r="N254" s="11">
        <f aca="true" t="shared" si="222" ref="N254:N260">I254*L254</f>
        <v>2501306.238076774</v>
      </c>
      <c r="O254" s="65">
        <f aca="true" t="shared" si="223" ref="O254:O260">K254*H254/G254</f>
        <v>348.56552927491276</v>
      </c>
    </row>
    <row r="255" spans="1:15" ht="12.75">
      <c r="A255" t="s">
        <v>365</v>
      </c>
      <c r="B255" s="11">
        <f>8636+11681</f>
        <v>20317</v>
      </c>
      <c r="C255" s="11">
        <f>2802575+3127007</f>
        <v>5929582</v>
      </c>
      <c r="D255" s="11">
        <f aca="true" t="shared" si="224" ref="D255:D261">C255</f>
        <v>5929582</v>
      </c>
      <c r="E255" s="12">
        <f t="shared" si="216"/>
        <v>13.760289761541502</v>
      </c>
      <c r="F255" s="22">
        <f aca="true" t="shared" si="225" ref="F255:F261">D255/B255</f>
        <v>291.8532263621598</v>
      </c>
      <c r="G255" s="13">
        <v>12646</v>
      </c>
      <c r="H255" s="10">
        <f aca="true" t="shared" si="226" ref="H255:H261">G255</f>
        <v>12646</v>
      </c>
      <c r="I255" s="11">
        <f t="shared" si="217"/>
        <v>7671</v>
      </c>
      <c r="J255" s="22">
        <f t="shared" si="218"/>
        <v>62.243441452970416</v>
      </c>
      <c r="K255" s="22">
        <f t="shared" si="219"/>
        <v>291.8532263621598</v>
      </c>
      <c r="L255" s="22">
        <f t="shared" si="220"/>
        <v>291.8532263621598</v>
      </c>
      <c r="M255" s="11">
        <f t="shared" si="221"/>
        <v>3690775.9005758725</v>
      </c>
      <c r="N255" s="11">
        <f t="shared" si="222"/>
        <v>2238806.0994241275</v>
      </c>
      <c r="O255" s="65">
        <f t="shared" si="223"/>
        <v>291.8532263621598</v>
      </c>
    </row>
    <row r="256" spans="1:15" ht="12.75">
      <c r="A256" t="s">
        <v>366</v>
      </c>
      <c r="B256" s="11">
        <f>14909+18777</f>
        <v>33686</v>
      </c>
      <c r="C256" s="11">
        <f>3131272+2843887</f>
        <v>5975159</v>
      </c>
      <c r="D256" s="11">
        <f t="shared" si="224"/>
        <v>5975159</v>
      </c>
      <c r="E256" s="12">
        <f t="shared" si="216"/>
        <v>13.86605653000204</v>
      </c>
      <c r="F256" s="22">
        <f t="shared" si="225"/>
        <v>177.37810960042748</v>
      </c>
      <c r="G256" s="13">
        <v>23620</v>
      </c>
      <c r="H256" s="10">
        <f t="shared" si="226"/>
        <v>23620</v>
      </c>
      <c r="I256" s="11">
        <f t="shared" si="217"/>
        <v>10066</v>
      </c>
      <c r="J256" s="22">
        <f t="shared" si="218"/>
        <v>70.11814997328267</v>
      </c>
      <c r="K256" s="22">
        <f t="shared" si="219"/>
        <v>177.37810960042748</v>
      </c>
      <c r="L256" s="22">
        <f t="shared" si="220"/>
        <v>177.37810960042748</v>
      </c>
      <c r="M256" s="11">
        <f t="shared" si="221"/>
        <v>4189670.948762097</v>
      </c>
      <c r="N256" s="11">
        <f t="shared" si="222"/>
        <v>1785488.051237903</v>
      </c>
      <c r="O256" s="65">
        <f t="shared" si="223"/>
        <v>177.37810960042748</v>
      </c>
    </row>
    <row r="257" spans="1:15" ht="12.75">
      <c r="A257" t="s">
        <v>367</v>
      </c>
      <c r="B257" s="11">
        <f>22262+30135</f>
        <v>52397</v>
      </c>
      <c r="C257" s="11">
        <f>2359375+2190749</f>
        <v>4550124</v>
      </c>
      <c r="D257" s="11">
        <f t="shared" si="224"/>
        <v>4550124</v>
      </c>
      <c r="E257" s="12">
        <f t="shared" si="216"/>
        <v>10.559095850423228</v>
      </c>
      <c r="F257" s="22">
        <f t="shared" si="225"/>
        <v>86.83939920224441</v>
      </c>
      <c r="G257" s="13">
        <v>37349</v>
      </c>
      <c r="H257" s="10">
        <f t="shared" si="226"/>
        <v>37349</v>
      </c>
      <c r="I257" s="11">
        <f t="shared" si="217"/>
        <v>15048</v>
      </c>
      <c r="J257" s="22">
        <f t="shared" si="218"/>
        <v>71.28079851899918</v>
      </c>
      <c r="K257" s="22">
        <f t="shared" si="219"/>
        <v>86.83939920224441</v>
      </c>
      <c r="L257" s="22">
        <f t="shared" si="220"/>
        <v>86.83939920224441</v>
      </c>
      <c r="M257" s="11">
        <f t="shared" si="221"/>
        <v>3243364.7208046266</v>
      </c>
      <c r="N257" s="11">
        <f t="shared" si="222"/>
        <v>1306759.2791953739</v>
      </c>
      <c r="O257" s="65">
        <f t="shared" si="223"/>
        <v>86.83939920224441</v>
      </c>
    </row>
    <row r="258" spans="1:15" ht="12.75">
      <c r="A258" t="s">
        <v>368</v>
      </c>
      <c r="B258" s="11">
        <f>41869+56963</f>
        <v>98832</v>
      </c>
      <c r="C258" s="11">
        <f>1998090+1736321</f>
        <v>3734411</v>
      </c>
      <c r="D258" s="11">
        <f t="shared" si="224"/>
        <v>3734411</v>
      </c>
      <c r="E258" s="12">
        <f t="shared" si="216"/>
        <v>8.666138262138539</v>
      </c>
      <c r="F258" s="22">
        <f t="shared" si="225"/>
        <v>37.7854439857536</v>
      </c>
      <c r="G258" s="13">
        <v>69834</v>
      </c>
      <c r="H258" s="10">
        <f t="shared" si="226"/>
        <v>69834</v>
      </c>
      <c r="I258" s="11">
        <f t="shared" si="217"/>
        <v>28998</v>
      </c>
      <c r="J258" s="22">
        <f t="shared" si="218"/>
        <v>70.65930063137445</v>
      </c>
      <c r="K258" s="22">
        <f t="shared" si="219"/>
        <v>37.7854439857536</v>
      </c>
      <c r="L258" s="22">
        <f t="shared" si="220"/>
        <v>37.7854439857536</v>
      </c>
      <c r="M258" s="11">
        <f t="shared" si="221"/>
        <v>2638708.695301117</v>
      </c>
      <c r="N258" s="11">
        <f t="shared" si="222"/>
        <v>1095702.3046988829</v>
      </c>
      <c r="O258" s="65">
        <f t="shared" si="223"/>
        <v>37.7854439857536</v>
      </c>
    </row>
    <row r="259" spans="1:15" ht="12.75">
      <c r="A259" t="s">
        <v>369</v>
      </c>
      <c r="B259" s="11">
        <f>71631+71328</f>
        <v>142959</v>
      </c>
      <c r="C259" s="11">
        <f>1323984+814080</f>
        <v>2138064</v>
      </c>
      <c r="D259" s="11">
        <f t="shared" si="224"/>
        <v>2138064</v>
      </c>
      <c r="E259" s="12">
        <f t="shared" si="216"/>
        <v>4.961628015047346</v>
      </c>
      <c r="F259" s="22">
        <f t="shared" si="225"/>
        <v>14.955784525633224</v>
      </c>
      <c r="G259" s="13">
        <v>84835</v>
      </c>
      <c r="H259" s="10">
        <f t="shared" si="226"/>
        <v>84835</v>
      </c>
      <c r="I259" s="11">
        <f t="shared" si="217"/>
        <v>58124</v>
      </c>
      <c r="J259" s="22">
        <f t="shared" si="218"/>
        <v>59.34218901922929</v>
      </c>
      <c r="K259" s="22">
        <f t="shared" si="219"/>
        <v>14.955784525633224</v>
      </c>
      <c r="L259" s="22">
        <f t="shared" si="220"/>
        <v>14.955784525633224</v>
      </c>
      <c r="M259" s="11">
        <f t="shared" si="221"/>
        <v>1268773.9802320944</v>
      </c>
      <c r="N259" s="11">
        <f t="shared" si="222"/>
        <v>869290.0197679055</v>
      </c>
      <c r="O259" s="65">
        <f t="shared" si="223"/>
        <v>14.955784525633222</v>
      </c>
    </row>
    <row r="260" spans="1:15" ht="12.75">
      <c r="A260" t="s">
        <v>0</v>
      </c>
      <c r="B260" s="11">
        <f>58360+38813</f>
        <v>97173</v>
      </c>
      <c r="C260" s="11">
        <f>404015+161660</f>
        <v>565675</v>
      </c>
      <c r="D260" s="11">
        <f t="shared" si="224"/>
        <v>565675</v>
      </c>
      <c r="E260" s="12">
        <f t="shared" si="216"/>
        <v>1.312715113959127</v>
      </c>
      <c r="F260" s="22">
        <f t="shared" si="225"/>
        <v>5.821318679056939</v>
      </c>
      <c r="G260" s="11">
        <f>41500+3785</f>
        <v>45285</v>
      </c>
      <c r="H260" s="10">
        <f t="shared" si="226"/>
        <v>45285</v>
      </c>
      <c r="I260" s="11">
        <f t="shared" si="217"/>
        <v>51888</v>
      </c>
      <c r="J260" s="22">
        <f t="shared" si="218"/>
        <v>46.602451298200116</v>
      </c>
      <c r="K260" s="22">
        <f t="shared" si="219"/>
        <v>5.821318679056939</v>
      </c>
      <c r="L260" s="22">
        <f t="shared" si="220"/>
        <v>5.821318679056939</v>
      </c>
      <c r="M260" s="11">
        <f t="shared" si="221"/>
        <v>263618.4163810935</v>
      </c>
      <c r="N260" s="11">
        <f t="shared" si="222"/>
        <v>302056.58361890644</v>
      </c>
      <c r="O260" s="65">
        <f t="shared" si="223"/>
        <v>5.821318679056939</v>
      </c>
    </row>
    <row r="261" spans="1:15" ht="12.75">
      <c r="A261" t="s">
        <v>18</v>
      </c>
      <c r="B261" s="11">
        <f>SUM(B254:B260)</f>
        <v>460838</v>
      </c>
      <c r="C261" s="11">
        <f>SUM(C254:C260)</f>
        <v>28286718</v>
      </c>
      <c r="D261" s="11">
        <f t="shared" si="224"/>
        <v>28286718</v>
      </c>
      <c r="E261" s="12">
        <f t="shared" si="216"/>
        <v>65.6426432896976</v>
      </c>
      <c r="F261" s="22">
        <f t="shared" si="225"/>
        <v>61.38104496590993</v>
      </c>
      <c r="G261" s="11">
        <f>SUM(G254:G260)</f>
        <v>281867</v>
      </c>
      <c r="H261" s="10">
        <f t="shared" si="226"/>
        <v>281867</v>
      </c>
      <c r="I261" s="11">
        <f t="shared" si="217"/>
        <v>178971</v>
      </c>
      <c r="J261" s="22">
        <f t="shared" si="218"/>
        <v>61.16400991237702</v>
      </c>
      <c r="K261" s="22">
        <f>M261/H261</f>
        <v>64.52443678749243</v>
      </c>
      <c r="L261" s="65">
        <f>N261/I261</f>
        <v>56.43041931944211</v>
      </c>
      <c r="M261" s="11">
        <f>SUM(M254:M260)</f>
        <v>18187309.423980128</v>
      </c>
      <c r="N261" s="11">
        <f>SUM(N254:N260)</f>
        <v>10099408.576019874</v>
      </c>
      <c r="O261" s="65" t="e">
        <f>K261*H261/#REF!</f>
        <v>#REF!</v>
      </c>
    </row>
    <row r="262" ht="12.75">
      <c r="G262" s="13"/>
    </row>
    <row r="264" spans="1:10" ht="12.75">
      <c r="A264" s="18" t="s">
        <v>430</v>
      </c>
      <c r="B264" s="17"/>
      <c r="C264" s="17"/>
      <c r="D264" s="17"/>
      <c r="E264" s="17"/>
      <c r="F264" s="17"/>
      <c r="G264" s="17"/>
      <c r="H264" s="17"/>
      <c r="I264" s="13"/>
      <c r="J264" s="13"/>
    </row>
    <row r="265" spans="1:10" ht="12.75">
      <c r="A265" s="13"/>
      <c r="B265" s="17"/>
      <c r="C265" s="17"/>
      <c r="D265" s="17"/>
      <c r="E265" s="17"/>
      <c r="F265" s="17"/>
      <c r="G265" s="17"/>
      <c r="H265" s="17"/>
      <c r="I265" s="13"/>
      <c r="J265" s="13"/>
    </row>
    <row r="266" spans="1:12" ht="12.75">
      <c r="A266" s="21" t="s">
        <v>10</v>
      </c>
      <c r="B266" s="24" t="s">
        <v>408</v>
      </c>
      <c r="C266" s="47" t="s">
        <v>429</v>
      </c>
      <c r="D266" s="24" t="s">
        <v>410</v>
      </c>
      <c r="E266" s="13" t="s">
        <v>61</v>
      </c>
      <c r="F266" s="13" t="s">
        <v>50</v>
      </c>
      <c r="G266" s="13" t="s">
        <v>51</v>
      </c>
      <c r="H266" s="13" t="s">
        <v>52</v>
      </c>
      <c r="I266" s="13" t="s">
        <v>53</v>
      </c>
      <c r="J266" s="13" t="s">
        <v>54</v>
      </c>
      <c r="K266" s="13" t="s">
        <v>55</v>
      </c>
      <c r="L266" s="13" t="s">
        <v>56</v>
      </c>
    </row>
    <row r="267" spans="1:12" ht="12.75">
      <c r="A267" s="13">
        <v>1817</v>
      </c>
      <c r="B267" s="11">
        <v>506184</v>
      </c>
      <c r="C267" s="11">
        <v>126881</v>
      </c>
      <c r="D267" s="22">
        <f aca="true" t="shared" si="227" ref="D267:D279">100*C267/B267</f>
        <v>25.066181467608615</v>
      </c>
      <c r="E267" s="11">
        <v>4067</v>
      </c>
      <c r="F267" s="11">
        <v>20317</v>
      </c>
      <c r="G267" s="11">
        <v>39865</v>
      </c>
      <c r="H267" s="11">
        <v>73988</v>
      </c>
      <c r="I267" s="11">
        <v>242176</v>
      </c>
      <c r="J267" s="11">
        <v>360536</v>
      </c>
      <c r="K267" s="11">
        <v>773103</v>
      </c>
      <c r="L267" s="11">
        <v>1786755</v>
      </c>
    </row>
    <row r="268" spans="1:12" ht="12.75">
      <c r="A268" s="13">
        <v>1827</v>
      </c>
      <c r="B268" s="11">
        <v>574089</v>
      </c>
      <c r="C268" s="11">
        <v>150395</v>
      </c>
      <c r="D268" s="22">
        <f t="shared" si="227"/>
        <v>26.197157583580246</v>
      </c>
      <c r="E268" s="11">
        <v>6315</v>
      </c>
      <c r="F268" s="11">
        <v>31530</v>
      </c>
      <c r="G268" s="11">
        <v>61475</v>
      </c>
      <c r="H268" s="11">
        <v>111211</v>
      </c>
      <c r="I268" s="11">
        <v>335219</v>
      </c>
      <c r="J268" s="11">
        <v>483204</v>
      </c>
      <c r="K268" s="11">
        <v>1101309</v>
      </c>
      <c r="L268" s="11">
        <v>4132900</v>
      </c>
    </row>
    <row r="269" spans="1:12" ht="12.75">
      <c r="A269" s="13">
        <v>1837</v>
      </c>
      <c r="B269" s="11">
        <v>631678</v>
      </c>
      <c r="C269" s="11">
        <v>176590</v>
      </c>
      <c r="D269" s="22">
        <f t="shared" si="227"/>
        <v>27.955698947881675</v>
      </c>
      <c r="E269" s="11">
        <v>6405</v>
      </c>
      <c r="F269" s="11">
        <v>31975</v>
      </c>
      <c r="G269" s="11">
        <v>62610</v>
      </c>
      <c r="H269" s="11">
        <v>114832</v>
      </c>
      <c r="I269" s="11">
        <v>348240</v>
      </c>
      <c r="J269" s="11">
        <v>505574</v>
      </c>
      <c r="K269" s="11">
        <v>1107985</v>
      </c>
      <c r="L269" s="11">
        <v>1912682</v>
      </c>
    </row>
    <row r="270" spans="1:12" ht="12.75">
      <c r="A270" s="13">
        <v>1847</v>
      </c>
      <c r="B270" s="11">
        <v>784417</v>
      </c>
      <c r="C270" s="11">
        <v>196797</v>
      </c>
      <c r="D270" s="22">
        <f t="shared" si="227"/>
        <v>25.088313996254545</v>
      </c>
      <c r="E270" s="11">
        <v>7586</v>
      </c>
      <c r="F270" s="11">
        <v>37905</v>
      </c>
      <c r="G270" s="11">
        <v>74522</v>
      </c>
      <c r="H270" s="11">
        <v>138249</v>
      </c>
      <c r="I270" s="11">
        <v>437601</v>
      </c>
      <c r="J270" s="11">
        <v>620312</v>
      </c>
      <c r="K270" s="11">
        <v>1285639</v>
      </c>
      <c r="L270" s="11">
        <v>2676280</v>
      </c>
    </row>
    <row r="271" spans="1:12" ht="12.75">
      <c r="A271" s="13">
        <v>1857</v>
      </c>
      <c r="B271" s="11">
        <v>884450</v>
      </c>
      <c r="C271" s="11">
        <v>264097</v>
      </c>
      <c r="D271" s="22">
        <f t="shared" si="227"/>
        <v>29.86002600486178</v>
      </c>
      <c r="E271" s="11">
        <v>9877</v>
      </c>
      <c r="F271" s="11">
        <v>49243</v>
      </c>
      <c r="G271" s="11">
        <v>95560</v>
      </c>
      <c r="H271" s="11">
        <v>174873</v>
      </c>
      <c r="I271" s="11">
        <v>582483</v>
      </c>
      <c r="J271" s="11">
        <v>904759</v>
      </c>
      <c r="K271" s="11">
        <v>1921827</v>
      </c>
      <c r="L271" s="11">
        <v>3001180</v>
      </c>
    </row>
    <row r="272" spans="1:12" ht="12.75">
      <c r="A272" s="13">
        <v>1867</v>
      </c>
      <c r="B272" s="11">
        <v>1320324</v>
      </c>
      <c r="C272" s="11">
        <v>351588</v>
      </c>
      <c r="D272" s="22">
        <f>100*C272/B272</f>
        <v>26.628918356403428</v>
      </c>
      <c r="E272" s="11">
        <v>11554</v>
      </c>
      <c r="F272" s="11">
        <v>57655</v>
      </c>
      <c r="G272" s="11">
        <v>111587</v>
      </c>
      <c r="H272" s="11">
        <v>203292</v>
      </c>
      <c r="I272" s="11">
        <v>677347</v>
      </c>
      <c r="J272" s="11">
        <v>1058198</v>
      </c>
      <c r="K272" s="11">
        <v>2724638</v>
      </c>
      <c r="L272" s="11">
        <v>10356980</v>
      </c>
    </row>
    <row r="273" spans="1:12" ht="12.75">
      <c r="A273" s="13">
        <v>1877</v>
      </c>
      <c r="B273" s="11">
        <v>1400732</v>
      </c>
      <c r="C273" s="11">
        <v>373982</v>
      </c>
      <c r="D273" s="22">
        <f t="shared" si="227"/>
        <v>26.699040216115574</v>
      </c>
      <c r="E273" s="11">
        <v>15401</v>
      </c>
      <c r="F273" s="11">
        <v>76849</v>
      </c>
      <c r="G273" s="11">
        <v>148702</v>
      </c>
      <c r="H273" s="11">
        <v>272138</v>
      </c>
      <c r="I273" s="11">
        <v>942591</v>
      </c>
      <c r="J273" s="11">
        <v>1468490</v>
      </c>
      <c r="K273" s="11">
        <v>3435867</v>
      </c>
      <c r="L273" s="11">
        <v>10121720</v>
      </c>
    </row>
    <row r="274" spans="1:12" ht="12.75">
      <c r="A274" s="13">
        <v>1887</v>
      </c>
      <c r="B274" s="11">
        <v>1638710</v>
      </c>
      <c r="C274" s="11">
        <v>433310</v>
      </c>
      <c r="D274" s="22">
        <f t="shared" si="227"/>
        <v>26.442140464145577</v>
      </c>
      <c r="E274" s="11">
        <v>16824</v>
      </c>
      <c r="F274" s="11">
        <v>83990</v>
      </c>
      <c r="G274" s="11">
        <v>163140</v>
      </c>
      <c r="H274" s="11">
        <v>299521</v>
      </c>
      <c r="I274" s="11">
        <v>1027460</v>
      </c>
      <c r="J274" s="11">
        <v>1582794</v>
      </c>
      <c r="K274" s="11">
        <v>3419709</v>
      </c>
      <c r="L274" s="11">
        <v>8886234</v>
      </c>
    </row>
    <row r="275" spans="1:12" ht="12.75">
      <c r="A275" s="13" t="s">
        <v>454</v>
      </c>
      <c r="B275" s="11">
        <v>1911376</v>
      </c>
      <c r="C275" s="11">
        <v>478432</v>
      </c>
      <c r="D275" s="22">
        <f t="shared" si="227"/>
        <v>25.03076317794092</v>
      </c>
      <c r="E275" s="11">
        <v>19388</v>
      </c>
      <c r="F275" s="11">
        <v>96847</v>
      </c>
      <c r="G275" s="11">
        <v>190342</v>
      </c>
      <c r="H275" s="11">
        <v>360270</v>
      </c>
      <c r="I275" s="11">
        <v>1329257</v>
      </c>
      <c r="J275" s="11">
        <v>2168190</v>
      </c>
      <c r="K275" s="11">
        <v>5957852</v>
      </c>
      <c r="L275" s="11">
        <v>15742750</v>
      </c>
    </row>
    <row r="276" spans="1:12" ht="12.75">
      <c r="A276" s="13" t="s">
        <v>459</v>
      </c>
      <c r="B276" s="11">
        <v>1923576</v>
      </c>
      <c r="C276" s="11">
        <v>437560</v>
      </c>
      <c r="D276" s="22">
        <f t="shared" si="227"/>
        <v>22.74721664233698</v>
      </c>
      <c r="E276" s="11">
        <v>16715</v>
      </c>
      <c r="F276" s="11">
        <v>83533</v>
      </c>
      <c r="G276" s="11">
        <v>165506</v>
      </c>
      <c r="H276" s="11">
        <v>320949</v>
      </c>
      <c r="I276" s="11">
        <v>1244497</v>
      </c>
      <c r="J276" s="11">
        <v>2023826</v>
      </c>
      <c r="K276" s="11">
        <v>5545336</v>
      </c>
      <c r="L276" s="11">
        <v>15121960</v>
      </c>
    </row>
    <row r="277" spans="1:12" ht="12.75">
      <c r="A277" s="13" t="s">
        <v>130</v>
      </c>
      <c r="B277" s="11"/>
      <c r="C277" s="11"/>
      <c r="D277" s="22"/>
      <c r="E277" s="17">
        <f>E276/E275</f>
        <v>0.8621312151846503</v>
      </c>
      <c r="F277" s="17">
        <f aca="true" t="shared" si="228" ref="F277:L277">F276/F275</f>
        <v>0.8625254267039764</v>
      </c>
      <c r="G277" s="17">
        <f t="shared" si="228"/>
        <v>0.8695190761891752</v>
      </c>
      <c r="H277" s="17">
        <f t="shared" si="228"/>
        <v>0.8908568573569823</v>
      </c>
      <c r="I277" s="17">
        <f t="shared" si="228"/>
        <v>0.9362350546207393</v>
      </c>
      <c r="J277" s="17">
        <f t="shared" si="228"/>
        <v>0.9334172743163652</v>
      </c>
      <c r="K277" s="17">
        <f t="shared" si="228"/>
        <v>0.9307609521015292</v>
      </c>
      <c r="L277" s="17">
        <f t="shared" si="228"/>
        <v>0.9605666100268377</v>
      </c>
    </row>
    <row r="278" spans="1:12" ht="12.75">
      <c r="A278" s="13" t="s">
        <v>498</v>
      </c>
      <c r="B278" s="11">
        <v>28286718</v>
      </c>
      <c r="C278" s="11">
        <v>18187309</v>
      </c>
      <c r="D278" s="22">
        <f t="shared" si="227"/>
        <v>64.29628562776354</v>
      </c>
      <c r="E278" s="11">
        <f>185877*C278/B278</f>
        <v>119512.00683631802</v>
      </c>
      <c r="F278" s="11"/>
      <c r="G278" s="11">
        <v>839391.1457074807</v>
      </c>
      <c r="H278" s="11">
        <v>1312903.7519096725</v>
      </c>
      <c r="I278" s="11">
        <v>3422454.0715816403</v>
      </c>
      <c r="J278" s="11">
        <v>4995021.036038181</v>
      </c>
      <c r="K278" s="11">
        <v>11992014.578842368</v>
      </c>
      <c r="L278" s="11">
        <v>32656620.930320572</v>
      </c>
    </row>
    <row r="279" spans="1:12" ht="12.75">
      <c r="A279" s="13" t="s">
        <v>495</v>
      </c>
      <c r="B279" s="11">
        <f>C230</f>
        <v>43091985</v>
      </c>
      <c r="C279" s="11">
        <v>17880619</v>
      </c>
      <c r="D279" s="22">
        <f t="shared" si="227"/>
        <v>41.49407134528614</v>
      </c>
      <c r="E279" s="11">
        <f>C279*512415/B279</f>
        <v>212621.84568394796</v>
      </c>
      <c r="F279" s="11">
        <v>900756</v>
      </c>
      <c r="G279" s="11">
        <v>1366427</v>
      </c>
      <c r="H279" s="11">
        <v>1964334</v>
      </c>
      <c r="I279" s="11">
        <v>4297833</v>
      </c>
      <c r="J279" s="11">
        <v>6167309</v>
      </c>
      <c r="K279" s="11">
        <v>14539004</v>
      </c>
      <c r="L279" s="11">
        <v>29026300</v>
      </c>
    </row>
    <row r="280" spans="1:12" ht="12.75">
      <c r="A280" s="13"/>
      <c r="B280" s="11"/>
      <c r="C280" s="11"/>
      <c r="D280" s="22"/>
      <c r="E280" s="11"/>
      <c r="F280" s="11"/>
      <c r="G280" s="11"/>
      <c r="H280" s="11"/>
      <c r="I280" s="11"/>
      <c r="J280" s="11"/>
      <c r="K280" s="11"/>
      <c r="L280" s="11"/>
    </row>
    <row r="281" spans="1:9" ht="12.75">
      <c r="A281" s="13"/>
      <c r="B281" s="11"/>
      <c r="C281" s="11"/>
      <c r="D281" s="11"/>
      <c r="E281" s="11"/>
      <c r="F281" s="11"/>
      <c r="G281" s="11"/>
      <c r="H281" s="11"/>
      <c r="I281" s="11"/>
    </row>
    <row r="282" spans="1:10" ht="12.75">
      <c r="A282" s="21" t="s">
        <v>10</v>
      </c>
      <c r="B282" s="13" t="s">
        <v>62</v>
      </c>
      <c r="C282" s="13" t="s">
        <v>63</v>
      </c>
      <c r="D282" s="13" t="s">
        <v>64</v>
      </c>
      <c r="E282" s="13" t="s">
        <v>65</v>
      </c>
      <c r="F282" s="13" t="s">
        <v>66</v>
      </c>
      <c r="G282" s="13" t="s">
        <v>67</v>
      </c>
      <c r="H282" s="13" t="s">
        <v>68</v>
      </c>
      <c r="I282" s="13" t="s">
        <v>56</v>
      </c>
      <c r="J282" s="13" t="s">
        <v>376</v>
      </c>
    </row>
    <row r="283" spans="1:10" ht="12.75">
      <c r="A283" s="13">
        <v>1817</v>
      </c>
      <c r="B283" s="11">
        <v>6</v>
      </c>
      <c r="C283" s="11">
        <f>(20*F267-10*G267)/10</f>
        <v>769</v>
      </c>
      <c r="D283" s="11">
        <f>(10*G267-5*H267)/5</f>
        <v>5742</v>
      </c>
      <c r="E283" s="11">
        <f>(5*H267-I267)/4</f>
        <v>31941</v>
      </c>
      <c r="F283" s="11">
        <f aca="true" t="shared" si="229" ref="F283:F292">(2*I267-J267)/1</f>
        <v>123816</v>
      </c>
      <c r="G283" s="11">
        <f aca="true" t="shared" si="230" ref="G283:G292">(5*J267-K267)/4</f>
        <v>257394.25</v>
      </c>
      <c r="H283" s="11">
        <f aca="true" t="shared" si="231" ref="H283:H292">(10*K267-L267)/9</f>
        <v>660475</v>
      </c>
      <c r="I283" s="11">
        <f aca="true" t="shared" si="232" ref="I283:I292">L267</f>
        <v>1786755</v>
      </c>
      <c r="J283" s="4">
        <f aca="true" t="shared" si="233" ref="J283:J292">(80*B283+10*C283)/90</f>
        <v>90.77777777777777</v>
      </c>
    </row>
    <row r="284" spans="1:10" ht="12.75">
      <c r="A284" s="13">
        <v>1827</v>
      </c>
      <c r="B284" s="11">
        <v>9</v>
      </c>
      <c r="C284" s="11">
        <v>1560</v>
      </c>
      <c r="D284" s="11">
        <f>(10*G268-5*H268)/5</f>
        <v>11739</v>
      </c>
      <c r="E284" s="11">
        <f>(5*H268-I268)/4</f>
        <v>55209</v>
      </c>
      <c r="F284" s="11">
        <f t="shared" si="229"/>
        <v>187234</v>
      </c>
      <c r="G284" s="11">
        <f t="shared" si="230"/>
        <v>328677.75</v>
      </c>
      <c r="H284" s="11">
        <f t="shared" si="231"/>
        <v>764465.5555555555</v>
      </c>
      <c r="I284" s="11">
        <f t="shared" si="232"/>
        <v>4132900</v>
      </c>
      <c r="J284" s="4">
        <f t="shared" si="233"/>
        <v>181.33333333333334</v>
      </c>
    </row>
    <row r="285" spans="1:10" ht="12.75">
      <c r="A285" s="13">
        <v>1837</v>
      </c>
      <c r="B285" s="11">
        <v>11</v>
      </c>
      <c r="C285" s="11">
        <v>1320</v>
      </c>
      <c r="D285" s="11">
        <v>10318</v>
      </c>
      <c r="E285" s="11">
        <f>(5*H269-I269)/4</f>
        <v>56480</v>
      </c>
      <c r="F285" s="11">
        <f t="shared" si="229"/>
        <v>190906</v>
      </c>
      <c r="G285" s="11">
        <f t="shared" si="230"/>
        <v>354971.25</v>
      </c>
      <c r="H285" s="11">
        <f t="shared" si="231"/>
        <v>1018574.2222222222</v>
      </c>
      <c r="I285" s="11">
        <f t="shared" si="232"/>
        <v>1912682</v>
      </c>
      <c r="J285" s="4">
        <f t="shared" si="233"/>
        <v>156.44444444444446</v>
      </c>
    </row>
    <row r="286" spans="1:10" ht="12.75">
      <c r="A286" s="13">
        <v>1847</v>
      </c>
      <c r="B286" s="11">
        <v>6</v>
      </c>
      <c r="C286" s="11">
        <v>1255</v>
      </c>
      <c r="D286" s="11">
        <v>10819</v>
      </c>
      <c r="E286" s="11">
        <f>(5*H270-I270)/4</f>
        <v>63411</v>
      </c>
      <c r="F286" s="11">
        <f>(2*I270-J270)/1</f>
        <v>254890</v>
      </c>
      <c r="G286" s="11">
        <f>(5*J270-K270)/4</f>
        <v>453980.25</v>
      </c>
      <c r="H286" s="11">
        <f>(10*K270-L270)/9</f>
        <v>1131123.3333333333</v>
      </c>
      <c r="I286" s="11">
        <f>L270</f>
        <v>2676280</v>
      </c>
      <c r="J286" s="4">
        <f t="shared" si="233"/>
        <v>144.77777777777777</v>
      </c>
    </row>
    <row r="287" spans="1:10" ht="12.75">
      <c r="A287" s="13">
        <v>1857</v>
      </c>
      <c r="B287" s="11">
        <v>34</v>
      </c>
      <c r="C287" s="11">
        <f>(20*F271-10*G271)/10</f>
        <v>2926</v>
      </c>
      <c r="D287" s="11">
        <f>(10*G271-5*H271)/5</f>
        <v>16247</v>
      </c>
      <c r="E287" s="11">
        <f>(5*H271-I271)/4</f>
        <v>72970.5</v>
      </c>
      <c r="F287" s="11">
        <f t="shared" si="229"/>
        <v>260207</v>
      </c>
      <c r="G287" s="11">
        <f t="shared" si="230"/>
        <v>650492</v>
      </c>
      <c r="H287" s="11">
        <f t="shared" si="231"/>
        <v>1801898.888888889</v>
      </c>
      <c r="I287" s="11">
        <f t="shared" si="232"/>
        <v>3001180</v>
      </c>
      <c r="J287" s="4">
        <f t="shared" si="233"/>
        <v>355.3333333333333</v>
      </c>
    </row>
    <row r="288" spans="1:10" ht="12.75">
      <c r="A288" s="13">
        <v>1867</v>
      </c>
      <c r="B288" s="11">
        <v>37</v>
      </c>
      <c r="C288" s="11">
        <v>3728</v>
      </c>
      <c r="D288" s="11">
        <v>19832</v>
      </c>
      <c r="E288" s="11">
        <v>84028</v>
      </c>
      <c r="F288" s="11">
        <f t="shared" si="229"/>
        <v>296496</v>
      </c>
      <c r="G288" s="11">
        <f t="shared" si="230"/>
        <v>641588</v>
      </c>
      <c r="H288" s="11">
        <f t="shared" si="231"/>
        <v>1876600</v>
      </c>
      <c r="I288" s="11">
        <f t="shared" si="232"/>
        <v>10356980</v>
      </c>
      <c r="J288" s="4">
        <f t="shared" si="233"/>
        <v>447.1111111111111</v>
      </c>
    </row>
    <row r="289" spans="1:10" ht="12.75">
      <c r="A289" s="13">
        <v>1877</v>
      </c>
      <c r="B289" s="11">
        <v>36</v>
      </c>
      <c r="C289" s="11">
        <v>5006</v>
      </c>
      <c r="D289" s="11">
        <f>(10*G273-5*H273)/5</f>
        <v>25266</v>
      </c>
      <c r="E289" s="11">
        <f>(5*H273-I273)/4</f>
        <v>104524.75</v>
      </c>
      <c r="F289" s="11">
        <f t="shared" si="229"/>
        <v>416692</v>
      </c>
      <c r="G289" s="11">
        <f t="shared" si="230"/>
        <v>976645.75</v>
      </c>
      <c r="H289" s="11">
        <f t="shared" si="231"/>
        <v>2692994.4444444445</v>
      </c>
      <c r="I289" s="11">
        <f t="shared" si="232"/>
        <v>10121720</v>
      </c>
      <c r="J289" s="4">
        <f t="shared" si="233"/>
        <v>588.2222222222222</v>
      </c>
    </row>
    <row r="290" spans="1:10" ht="12.75">
      <c r="A290" s="13">
        <v>1887</v>
      </c>
      <c r="B290" s="11">
        <v>31</v>
      </c>
      <c r="C290" s="11">
        <v>4816</v>
      </c>
      <c r="D290" s="11">
        <f>(10*G274-5*H274)/5</f>
        <v>26759</v>
      </c>
      <c r="E290" s="11">
        <f>(5*H274-I274)/4</f>
        <v>117536.25</v>
      </c>
      <c r="F290" s="11">
        <f t="shared" si="229"/>
        <v>472126</v>
      </c>
      <c r="G290" s="11">
        <f t="shared" si="230"/>
        <v>1123565.25</v>
      </c>
      <c r="H290" s="11">
        <f t="shared" si="231"/>
        <v>2812317.3333333335</v>
      </c>
      <c r="I290" s="11">
        <f t="shared" si="232"/>
        <v>8886234</v>
      </c>
      <c r="J290" s="4">
        <f t="shared" si="233"/>
        <v>562.6666666666666</v>
      </c>
    </row>
    <row r="291" spans="1:10" ht="12.75">
      <c r="A291" s="13" t="s">
        <v>454</v>
      </c>
      <c r="B291" s="11">
        <v>67</v>
      </c>
      <c r="C291" s="11">
        <v>8651</v>
      </c>
      <c r="D291" s="11">
        <f>(10*G275-5*H275)/5</f>
        <v>20414</v>
      </c>
      <c r="E291" s="11">
        <f>(5*H275-I275)/4</f>
        <v>118023.25</v>
      </c>
      <c r="F291" s="11">
        <f t="shared" si="229"/>
        <v>490324</v>
      </c>
      <c r="G291" s="11">
        <f t="shared" si="230"/>
        <v>1220774.5</v>
      </c>
      <c r="H291" s="11">
        <f t="shared" si="231"/>
        <v>4870641.111111111</v>
      </c>
      <c r="I291" s="11">
        <f t="shared" si="232"/>
        <v>15742750</v>
      </c>
      <c r="J291" s="4">
        <f>(80*B291+10*C291)/90</f>
        <v>1020.7777777777778</v>
      </c>
    </row>
    <row r="292" spans="1:10" ht="12.75">
      <c r="A292" s="13" t="s">
        <v>459</v>
      </c>
      <c r="B292" s="11">
        <v>6.5</v>
      </c>
      <c r="C292" s="11">
        <v>1558</v>
      </c>
      <c r="D292" s="11">
        <v>9442</v>
      </c>
      <c r="E292" s="11">
        <v>89859</v>
      </c>
      <c r="F292" s="11">
        <f t="shared" si="229"/>
        <v>465168</v>
      </c>
      <c r="G292" s="11">
        <f t="shared" si="230"/>
        <v>1143448.5</v>
      </c>
      <c r="H292" s="11">
        <f t="shared" si="231"/>
        <v>4481266.666666667</v>
      </c>
      <c r="I292" s="11">
        <f t="shared" si="232"/>
        <v>15121960</v>
      </c>
      <c r="J292" s="4">
        <f t="shared" si="233"/>
        <v>178.88888888888889</v>
      </c>
    </row>
    <row r="293" spans="1:9" ht="12.75">
      <c r="A293" s="13"/>
      <c r="B293" s="11"/>
      <c r="C293" s="11"/>
      <c r="D293" s="11"/>
      <c r="E293" s="11"/>
      <c r="F293" s="11"/>
      <c r="G293" s="11"/>
      <c r="H293" s="11"/>
      <c r="I293" s="11"/>
    </row>
    <row r="294" spans="1:8" ht="12.75">
      <c r="A294" s="21" t="s">
        <v>84</v>
      </c>
      <c r="B294" s="13" t="s">
        <v>49</v>
      </c>
      <c r="C294" s="13" t="s">
        <v>11</v>
      </c>
      <c r="D294" s="13" t="s">
        <v>12</v>
      </c>
      <c r="E294" s="13" t="s">
        <v>13</v>
      </c>
      <c r="F294" s="13" t="s">
        <v>14</v>
      </c>
      <c r="G294" s="13" t="s">
        <v>15</v>
      </c>
      <c r="H294" s="13" t="s">
        <v>16</v>
      </c>
    </row>
    <row r="295" spans="1:8" ht="12.75">
      <c r="A295" s="13">
        <v>1817</v>
      </c>
      <c r="B295" s="11">
        <v>132</v>
      </c>
      <c r="C295" s="11">
        <v>2291</v>
      </c>
      <c r="D295" s="11">
        <v>11748</v>
      </c>
      <c r="E295" s="11">
        <v>94832</v>
      </c>
      <c r="F295" s="11">
        <v>154025</v>
      </c>
      <c r="G295" s="11">
        <v>405384</v>
      </c>
      <c r="H295" s="11">
        <v>1786755</v>
      </c>
    </row>
    <row r="296" spans="1:8" ht="12.75">
      <c r="A296" s="13">
        <v>1827</v>
      </c>
      <c r="B296" s="11">
        <v>240</v>
      </c>
      <c r="C296" s="11">
        <v>5206</v>
      </c>
      <c r="D296" s="11">
        <v>22428</v>
      </c>
      <c r="E296" s="11">
        <v>144455</v>
      </c>
      <c r="F296" s="11">
        <v>220475</v>
      </c>
      <c r="G296" s="11">
        <v>519002</v>
      </c>
      <c r="H296" s="11">
        <v>4132900</v>
      </c>
    </row>
    <row r="297" spans="1:8" ht="12.75">
      <c r="A297" s="13">
        <v>1837</v>
      </c>
      <c r="B297" s="11">
        <v>245</v>
      </c>
      <c r="C297" s="11">
        <v>4206</v>
      </c>
      <c r="D297" s="11">
        <v>20954</v>
      </c>
      <c r="E297" s="11">
        <v>146020</v>
      </c>
      <c r="F297" s="11">
        <v>244728</v>
      </c>
      <c r="G297" s="11">
        <v>668421</v>
      </c>
      <c r="H297" s="11">
        <v>1618900</v>
      </c>
    </row>
    <row r="298" spans="1:8" ht="12.75">
      <c r="A298" s="13">
        <v>1847</v>
      </c>
      <c r="B298" s="11">
        <v>186</v>
      </c>
      <c r="C298" s="11">
        <v>4036</v>
      </c>
      <c r="D298" s="11">
        <v>22200</v>
      </c>
      <c r="E298" s="11">
        <v>177188</v>
      </c>
      <c r="F298" s="11">
        <v>337962</v>
      </c>
      <c r="G298" s="11">
        <v>662801</v>
      </c>
      <c r="H298" s="11">
        <v>1765905</v>
      </c>
    </row>
    <row r="299" spans="1:8" ht="12.75">
      <c r="A299" s="13">
        <v>1857</v>
      </c>
      <c r="B299" s="11">
        <v>760</v>
      </c>
      <c r="C299" s="11">
        <v>7589</v>
      </c>
      <c r="D299" s="11">
        <v>30622</v>
      </c>
      <c r="E299" s="11">
        <v>190366</v>
      </c>
      <c r="F299" s="11">
        <v>353082</v>
      </c>
      <c r="G299" s="11">
        <v>1229358</v>
      </c>
      <c r="H299" s="11">
        <v>3001180</v>
      </c>
    </row>
    <row r="300" spans="1:8" ht="12.75">
      <c r="A300" s="13">
        <v>1867</v>
      </c>
      <c r="B300" s="11">
        <v>799</v>
      </c>
      <c r="C300" s="11">
        <v>10087</v>
      </c>
      <c r="D300" s="11">
        <v>34914</v>
      </c>
      <c r="E300" s="11">
        <v>224000</v>
      </c>
      <c r="F300" s="11">
        <v>431949</v>
      </c>
      <c r="G300" s="11">
        <v>1107527</v>
      </c>
      <c r="H300" s="11">
        <v>5921960</v>
      </c>
    </row>
    <row r="301" spans="1:8" ht="12.75">
      <c r="A301" s="13">
        <v>1877</v>
      </c>
      <c r="B301" s="11">
        <v>1070</v>
      </c>
      <c r="C301" s="11">
        <v>13405</v>
      </c>
      <c r="D301" s="11">
        <v>43468</v>
      </c>
      <c r="E301" s="11">
        <v>298568</v>
      </c>
      <c r="F301" s="11">
        <v>593027</v>
      </c>
      <c r="G301" s="11">
        <v>1801648</v>
      </c>
      <c r="H301" s="11">
        <v>6964895</v>
      </c>
    </row>
    <row r="302" spans="1:8" ht="12.75">
      <c r="A302" s="13">
        <v>1887</v>
      </c>
      <c r="B302" s="11">
        <v>989</v>
      </c>
      <c r="C302" s="11">
        <v>13433</v>
      </c>
      <c r="D302" s="11">
        <v>47710</v>
      </c>
      <c r="E302" s="11">
        <v>329494</v>
      </c>
      <c r="F302" s="11">
        <v>694695</v>
      </c>
      <c r="G302" s="11">
        <v>1959653</v>
      </c>
      <c r="H302" s="11">
        <v>5381267</v>
      </c>
    </row>
    <row r="303" spans="1:8" ht="12.75">
      <c r="A303" s="13" t="s">
        <v>454</v>
      </c>
      <c r="B303" s="11">
        <v>720</v>
      </c>
      <c r="C303" s="11">
        <v>9456</v>
      </c>
      <c r="D303" s="11">
        <v>39432</v>
      </c>
      <c r="E303" s="11">
        <v>360174</v>
      </c>
      <c r="F303" s="11">
        <v>684172</v>
      </c>
      <c r="G303" s="11">
        <v>2480111</v>
      </c>
      <c r="H303" s="11">
        <v>15720000</v>
      </c>
    </row>
    <row r="304" spans="1:8" ht="12.75">
      <c r="A304" s="13" t="s">
        <v>459</v>
      </c>
      <c r="B304" s="11">
        <v>341</v>
      </c>
      <c r="C304" s="11">
        <v>4087</v>
      </c>
      <c r="D304" s="11">
        <v>21221</v>
      </c>
      <c r="E304" s="11">
        <v>323546</v>
      </c>
      <c r="F304" s="11">
        <v>659093</v>
      </c>
      <c r="G304" s="11">
        <v>2354469</v>
      </c>
      <c r="H304" s="11">
        <v>13303940</v>
      </c>
    </row>
    <row r="305" spans="1:8" ht="12.75">
      <c r="A305" s="13" t="s">
        <v>130</v>
      </c>
      <c r="B305" s="17">
        <f>B304/B303</f>
        <v>0.4736111111111111</v>
      </c>
      <c r="C305" s="17">
        <f aca="true" t="shared" si="234" ref="C305:H305">C304/C303</f>
        <v>0.4322123519458545</v>
      </c>
      <c r="D305" s="17">
        <f t="shared" si="234"/>
        <v>0.53816697098803</v>
      </c>
      <c r="E305" s="17">
        <f t="shared" si="234"/>
        <v>0.898304708279887</v>
      </c>
      <c r="F305" s="17">
        <f t="shared" si="234"/>
        <v>0.9633440129090346</v>
      </c>
      <c r="G305" s="17">
        <f t="shared" si="234"/>
        <v>0.9493401706617164</v>
      </c>
      <c r="H305" s="17">
        <f t="shared" si="234"/>
        <v>0.8463066157760815</v>
      </c>
    </row>
    <row r="306" spans="1:8" ht="12.75">
      <c r="A306" s="13" t="s">
        <v>498</v>
      </c>
      <c r="B306" s="17"/>
      <c r="C306" s="11">
        <v>263815.3316412586</v>
      </c>
      <c r="D306" s="11">
        <v>488166.2522660423</v>
      </c>
      <c r="E306" s="11">
        <v>1415807.8750462346</v>
      </c>
      <c r="F306" s="11">
        <v>2230392.1249856963</v>
      </c>
      <c r="G306" s="11">
        <v>5649847.065674407</v>
      </c>
      <c r="H306" s="11">
        <v>18467415.550487567</v>
      </c>
    </row>
    <row r="307" spans="1:8" ht="12.75">
      <c r="A307" s="13" t="s">
        <v>495</v>
      </c>
      <c r="B307" s="11">
        <v>315091</v>
      </c>
      <c r="C307" s="11">
        <v>588115</v>
      </c>
      <c r="D307" s="11">
        <v>947205</v>
      </c>
      <c r="E307" s="11">
        <v>2184896</v>
      </c>
      <c r="F307" s="11">
        <v>2875053</v>
      </c>
      <c r="G307" s="11">
        <v>6691938</v>
      </c>
      <c r="H307" s="11">
        <v>23657780</v>
      </c>
    </row>
    <row r="308" spans="1:8" ht="12.75">
      <c r="A308" s="13"/>
      <c r="B308" s="11"/>
      <c r="C308" s="11"/>
      <c r="D308" s="11"/>
      <c r="E308" s="11"/>
      <c r="F308" s="11"/>
      <c r="G308" s="11"/>
      <c r="H308" s="11"/>
    </row>
    <row r="309" spans="1:11" ht="12.75">
      <c r="A309" s="21" t="s">
        <v>85</v>
      </c>
      <c r="B309" s="13" t="s">
        <v>61</v>
      </c>
      <c r="C309" s="13" t="s">
        <v>50</v>
      </c>
      <c r="D309" s="13" t="s">
        <v>51</v>
      </c>
      <c r="E309" s="13" t="s">
        <v>52</v>
      </c>
      <c r="F309" s="13" t="s">
        <v>53</v>
      </c>
      <c r="G309" s="13" t="s">
        <v>54</v>
      </c>
      <c r="H309" s="13" t="s">
        <v>55</v>
      </c>
      <c r="I309" s="13" t="s">
        <v>56</v>
      </c>
      <c r="J309" s="13" t="s">
        <v>483</v>
      </c>
      <c r="K309" s="13" t="s">
        <v>377</v>
      </c>
    </row>
    <row r="310" spans="1:11" ht="12.75">
      <c r="A310" s="13">
        <v>1817</v>
      </c>
      <c r="B310" s="12">
        <f aca="true" t="shared" si="235" ref="B310:B319">100*E267/$E267</f>
        <v>100</v>
      </c>
      <c r="C310" s="12">
        <f aca="true" t="shared" si="236" ref="C310:C319">20*F267/$E267</f>
        <v>99.9114826653553</v>
      </c>
      <c r="D310" s="12">
        <f aca="true" t="shared" si="237" ref="D310:D319">10*G267/$E267</f>
        <v>98.02065404475043</v>
      </c>
      <c r="E310" s="12">
        <f aca="true" t="shared" si="238" ref="E310:E319">5*H267/$E267</f>
        <v>90.9613966068355</v>
      </c>
      <c r="F310" s="12">
        <f aca="true" t="shared" si="239" ref="F310:F319">1*I267/$E267</f>
        <v>59.54659454143103</v>
      </c>
      <c r="G310" s="12">
        <f aca="true" t="shared" si="240" ref="G310:G319">0.5*J267/$E267</f>
        <v>44.324563560363906</v>
      </c>
      <c r="H310" s="12">
        <f aca="true" t="shared" si="241" ref="H310:H319">0.1*K267/$E267</f>
        <v>19.00917137939513</v>
      </c>
      <c r="I310" s="12">
        <f aca="true" t="shared" si="242" ref="I310:I319">0.01*L267/$E267</f>
        <v>4.393299729530367</v>
      </c>
      <c r="J310" s="22">
        <f>F310*F$319/F$318-2</f>
        <v>62.664877238014526</v>
      </c>
      <c r="K310" s="22">
        <f>H310*H$319/H$318-2</f>
        <v>18.52239165004307</v>
      </c>
    </row>
    <row r="311" spans="1:11" ht="12.75">
      <c r="A311" s="13">
        <v>1827</v>
      </c>
      <c r="B311" s="12">
        <f t="shared" si="235"/>
        <v>100</v>
      </c>
      <c r="C311" s="12">
        <f t="shared" si="236"/>
        <v>99.85748218527316</v>
      </c>
      <c r="D311" s="12">
        <f t="shared" si="237"/>
        <v>97.34758511480602</v>
      </c>
      <c r="E311" s="12">
        <f t="shared" si="238"/>
        <v>88.05304829770388</v>
      </c>
      <c r="F311" s="12">
        <f t="shared" si="239"/>
        <v>53.082977038796514</v>
      </c>
      <c r="G311" s="12">
        <f t="shared" si="240"/>
        <v>38.258432304038</v>
      </c>
      <c r="H311" s="12">
        <f t="shared" si="241"/>
        <v>17.43957244655582</v>
      </c>
      <c r="I311" s="12">
        <f t="shared" si="242"/>
        <v>6.5445764053840065</v>
      </c>
      <c r="J311" s="22">
        <f>F311*F$319/F$318</f>
        <v>57.64568435989736</v>
      </c>
      <c r="K311" s="22">
        <f>H311*H$319/H$318</f>
        <v>18.827845191898454</v>
      </c>
    </row>
    <row r="312" spans="1:11" ht="12.75">
      <c r="A312" s="13">
        <v>1837</v>
      </c>
      <c r="B312" s="12">
        <f t="shared" si="235"/>
        <v>100</v>
      </c>
      <c r="C312" s="12">
        <f t="shared" si="236"/>
        <v>99.84387197501951</v>
      </c>
      <c r="D312" s="12">
        <f t="shared" si="237"/>
        <v>97.75175644028103</v>
      </c>
      <c r="E312" s="12">
        <f t="shared" si="238"/>
        <v>89.64246682279469</v>
      </c>
      <c r="F312" s="12">
        <f t="shared" si="239"/>
        <v>54.37002341920375</v>
      </c>
      <c r="G312" s="12">
        <f t="shared" si="240"/>
        <v>39.46713505074161</v>
      </c>
      <c r="H312" s="12">
        <f t="shared" si="241"/>
        <v>17.298750975800157</v>
      </c>
      <c r="I312" s="12">
        <f t="shared" si="242"/>
        <v>2.986232630757221</v>
      </c>
      <c r="J312" s="22">
        <f>F312*F$319/F$318</f>
        <v>59.04335784281598</v>
      </c>
      <c r="K312" s="22">
        <f>H312*H$319/H$318</f>
        <v>18.675813663648075</v>
      </c>
    </row>
    <row r="313" spans="1:11" ht="12.75">
      <c r="A313" s="13">
        <v>1847</v>
      </c>
      <c r="B313" s="12">
        <f t="shared" si="235"/>
        <v>100</v>
      </c>
      <c r="C313" s="12">
        <f t="shared" si="236"/>
        <v>99.93408911152122</v>
      </c>
      <c r="D313" s="12">
        <f t="shared" si="237"/>
        <v>98.23622462430794</v>
      </c>
      <c r="E313" s="12">
        <f t="shared" si="238"/>
        <v>91.121144213024</v>
      </c>
      <c r="F313" s="12">
        <f t="shared" si="239"/>
        <v>57.68534141840232</v>
      </c>
      <c r="G313" s="12">
        <f t="shared" si="240"/>
        <v>40.88531505404693</v>
      </c>
      <c r="H313" s="12">
        <f t="shared" si="241"/>
        <v>16.9475217505932</v>
      </c>
      <c r="I313" s="12">
        <f t="shared" si="242"/>
        <v>3.52791985235961</v>
      </c>
      <c r="J313" s="22">
        <f>F313*F$319/F$318</f>
        <v>62.643641504276964</v>
      </c>
      <c r="K313" s="22">
        <f>H313*H$319/H$318</f>
        <v>18.296624924971567</v>
      </c>
    </row>
    <row r="314" spans="1:11" ht="12.75">
      <c r="A314" s="13">
        <v>1857</v>
      </c>
      <c r="B314" s="12">
        <f t="shared" si="235"/>
        <v>100</v>
      </c>
      <c r="C314" s="12">
        <f t="shared" si="236"/>
        <v>99.71246329857244</v>
      </c>
      <c r="D314" s="12">
        <f t="shared" si="237"/>
        <v>96.75002531132935</v>
      </c>
      <c r="E314" s="12">
        <f t="shared" si="238"/>
        <v>88.52536195200972</v>
      </c>
      <c r="F314" s="12">
        <f t="shared" si="239"/>
        <v>58.97367621747494</v>
      </c>
      <c r="G314" s="12">
        <f t="shared" si="240"/>
        <v>45.80130606459451</v>
      </c>
      <c r="H314" s="12">
        <f t="shared" si="241"/>
        <v>19.457598461071175</v>
      </c>
      <c r="I314" s="12">
        <f t="shared" si="242"/>
        <v>3.0385542168674697</v>
      </c>
      <c r="J314" s="22">
        <f>F314*F$319/F$318</f>
        <v>64.0427141509172</v>
      </c>
      <c r="K314" s="22">
        <f>H314*H$319/H$318</f>
        <v>21.00651565592251</v>
      </c>
    </row>
    <row r="315" spans="1:11" ht="12.75">
      <c r="A315" s="13">
        <v>1867</v>
      </c>
      <c r="B315" s="12">
        <f t="shared" si="235"/>
        <v>100</v>
      </c>
      <c r="C315" s="12">
        <f t="shared" si="236"/>
        <v>99.80093474121516</v>
      </c>
      <c r="D315" s="12">
        <f t="shared" si="237"/>
        <v>96.57867405227627</v>
      </c>
      <c r="E315" s="12">
        <f t="shared" si="238"/>
        <v>87.97472736714558</v>
      </c>
      <c r="F315" s="12">
        <f t="shared" si="239"/>
        <v>58.62445906179678</v>
      </c>
      <c r="G315" s="12">
        <f t="shared" si="240"/>
        <v>45.793577981651374</v>
      </c>
      <c r="H315" s="12">
        <f t="shared" si="241"/>
        <v>23.581772546304308</v>
      </c>
      <c r="I315" s="12">
        <f t="shared" si="242"/>
        <v>8.963977843171197</v>
      </c>
      <c r="J315" s="22">
        <f>F315*F$319/F$318</f>
        <v>63.66348029757526</v>
      </c>
      <c r="K315" s="22">
        <f>H315*H$319/H$318</f>
        <v>25.458993574126517</v>
      </c>
    </row>
    <row r="316" spans="1:11" ht="12.75">
      <c r="A316" s="13">
        <v>1877</v>
      </c>
      <c r="B316" s="12">
        <f t="shared" si="235"/>
        <v>100</v>
      </c>
      <c r="C316" s="12">
        <f t="shared" si="236"/>
        <v>99.79741575222388</v>
      </c>
      <c r="D316" s="12">
        <f t="shared" si="237"/>
        <v>96.55347055386014</v>
      </c>
      <c r="E316" s="12">
        <f t="shared" si="238"/>
        <v>88.35075644438673</v>
      </c>
      <c r="F316" s="12">
        <f t="shared" si="239"/>
        <v>61.20323355626258</v>
      </c>
      <c r="G316" s="12">
        <f t="shared" si="240"/>
        <v>47.6751509642231</v>
      </c>
      <c r="H316" s="12">
        <f t="shared" si="241"/>
        <v>22.30937601454451</v>
      </c>
      <c r="I316" s="12">
        <f t="shared" si="242"/>
        <v>6.572118693591325</v>
      </c>
      <c r="J316" s="22">
        <f>F316*F$319/F$318-1</f>
        <v>65.46391141195458</v>
      </c>
      <c r="K316" s="22">
        <f>H316*H$319/H$318-1</f>
        <v>23.085308238886938</v>
      </c>
    </row>
    <row r="317" spans="1:11" ht="12.75">
      <c r="A317" s="13">
        <v>1887</v>
      </c>
      <c r="B317" s="12">
        <f t="shared" si="235"/>
        <v>100</v>
      </c>
      <c r="C317" s="12">
        <f t="shared" si="236"/>
        <v>99.8454588682834</v>
      </c>
      <c r="D317" s="12">
        <f t="shared" si="237"/>
        <v>96.96861626248217</v>
      </c>
      <c r="E317" s="12">
        <f t="shared" si="238"/>
        <v>89.01598906324298</v>
      </c>
      <c r="F317" s="12">
        <f t="shared" si="239"/>
        <v>61.07108892058963</v>
      </c>
      <c r="G317" s="12">
        <f t="shared" si="240"/>
        <v>47.039764621968615</v>
      </c>
      <c r="H317" s="12">
        <f t="shared" si="241"/>
        <v>20.326373038516408</v>
      </c>
      <c r="I317" s="12">
        <f t="shared" si="242"/>
        <v>5.2818794579172605</v>
      </c>
      <c r="J317" s="22">
        <f>F317*F$319/F$318</f>
        <v>66.32040838362427</v>
      </c>
      <c r="K317" s="22">
        <f>H317*H$319/H$318</f>
        <v>21.944448813453917</v>
      </c>
    </row>
    <row r="318" spans="1:11" ht="12.75">
      <c r="A318" s="13" t="s">
        <v>454</v>
      </c>
      <c r="B318" s="12">
        <f t="shared" si="235"/>
        <v>100</v>
      </c>
      <c r="C318" s="12">
        <f t="shared" si="236"/>
        <v>99.90406436971323</v>
      </c>
      <c r="D318" s="12">
        <f t="shared" si="237"/>
        <v>98.17515989271715</v>
      </c>
      <c r="E318" s="12">
        <f t="shared" si="238"/>
        <v>92.91056323499072</v>
      </c>
      <c r="F318" s="12">
        <f t="shared" si="239"/>
        <v>68.5608108108108</v>
      </c>
      <c r="G318" s="12">
        <f t="shared" si="240"/>
        <v>55.91577264287188</v>
      </c>
      <c r="H318" s="12">
        <f t="shared" si="241"/>
        <v>30.729585310501346</v>
      </c>
      <c r="I318" s="12">
        <f t="shared" si="242"/>
        <v>8.119842170414689</v>
      </c>
      <c r="J318" s="22">
        <f>F318*F$319/F$318</f>
        <v>74.45390367932994</v>
      </c>
      <c r="K318" s="22">
        <f>H318*H$319/H$318</f>
        <v>33.175806162129824</v>
      </c>
    </row>
    <row r="319" spans="1:9" ht="12.75">
      <c r="A319" s="13" t="s">
        <v>459</v>
      </c>
      <c r="B319" s="12">
        <f t="shared" si="235"/>
        <v>100</v>
      </c>
      <c r="C319" s="12">
        <f t="shared" si="236"/>
        <v>99.94974573736165</v>
      </c>
      <c r="D319" s="12">
        <f t="shared" si="237"/>
        <v>99.01645228836375</v>
      </c>
      <c r="E319" s="12">
        <f t="shared" si="238"/>
        <v>96.00628178282979</v>
      </c>
      <c r="F319" s="12">
        <f t="shared" si="239"/>
        <v>74.45390367932994</v>
      </c>
      <c r="G319" s="12">
        <f t="shared" si="240"/>
        <v>60.53921627280886</v>
      </c>
      <c r="H319" s="12">
        <f t="shared" si="241"/>
        <v>33.175806162129824</v>
      </c>
      <c r="I319" s="12">
        <f t="shared" si="242"/>
        <v>9.046939874364345</v>
      </c>
    </row>
    <row r="320" spans="1:9" ht="12.75">
      <c r="A320" s="13" t="s">
        <v>498</v>
      </c>
      <c r="B320" s="12">
        <f>100*E278/$E278</f>
        <v>100</v>
      </c>
      <c r="C320" s="12">
        <f>20*F278/$E278</f>
        <v>0</v>
      </c>
      <c r="D320" s="12">
        <f>10*G278/$E278</f>
        <v>70.2348799863347</v>
      </c>
      <c r="E320" s="12">
        <f>5*H278/$E278</f>
        <v>54.92769248314134</v>
      </c>
      <c r="F320" s="12">
        <f>1*I278/$E278</f>
        <v>28.636905714996367</v>
      </c>
      <c r="G320" s="12">
        <f>0.5*J278/$E278</f>
        <v>20.897569910608613</v>
      </c>
      <c r="H320" s="12">
        <f>0.1*K278/$E278</f>
        <v>10.034150455917342</v>
      </c>
      <c r="I320" s="12">
        <f>0.01*L278/$E278</f>
        <v>2.7324970766365446</v>
      </c>
    </row>
    <row r="321" spans="1:9" ht="12.75">
      <c r="A321" s="13" t="s">
        <v>495</v>
      </c>
      <c r="B321" s="12">
        <f>100*E279/$E279</f>
        <v>100</v>
      </c>
      <c r="C321" s="12">
        <f>20*F279/$E279</f>
        <v>84.72845272342617</v>
      </c>
      <c r="D321" s="12">
        <f>10*G279/$E279</f>
        <v>64.26559771431612</v>
      </c>
      <c r="E321" s="12">
        <f>5*H279/$E279</f>
        <v>46.19313677955479</v>
      </c>
      <c r="F321" s="12">
        <f>1*I279/$E279</f>
        <v>20.213506218869533</v>
      </c>
      <c r="G321" s="12">
        <f>0.5*J279/$E279</f>
        <v>14.502999398207193</v>
      </c>
      <c r="H321" s="12">
        <f>0.1*K279/$E279</f>
        <v>6.837963405515501</v>
      </c>
      <c r="I321" s="12">
        <f>0.01*L279/$E279</f>
        <v>1.3651607579000224</v>
      </c>
    </row>
    <row r="323" ht="12.75">
      <c r="A323" s="9" t="s">
        <v>431</v>
      </c>
    </row>
    <row r="325" ht="12.75">
      <c r="A325" t="s">
        <v>439</v>
      </c>
    </row>
    <row r="326" spans="1:8" ht="12.75">
      <c r="A326" s="27" t="s">
        <v>414</v>
      </c>
      <c r="B326" t="str">
        <f>NoblesFemmesAges18071902!B163</f>
        <v>20-29</v>
      </c>
      <c r="C326" t="str">
        <f>NoblesFemmesAges18071902!C163</f>
        <v>30-39</v>
      </c>
      <c r="D326" t="str">
        <f>NoblesFemmesAges18071902!D163</f>
        <v>40-49</v>
      </c>
      <c r="E326" t="str">
        <f>NoblesFemmesAges18071902!E163</f>
        <v>50-59</v>
      </c>
      <c r="F326" t="str">
        <f>NoblesFemmesAges18071902!F163</f>
        <v>60-69</v>
      </c>
      <c r="G326" t="str">
        <f>NoblesFemmesAges18071902!G163</f>
        <v>70-79</v>
      </c>
      <c r="H326" t="str">
        <f>NoblesFemmesAges18071902!H163</f>
        <v>80-89</v>
      </c>
    </row>
    <row r="327" spans="1:8" ht="12.75">
      <c r="A327">
        <f>NoblesFemmesAges18071902!A164</f>
        <v>1817</v>
      </c>
      <c r="B327">
        <f>NoblesFemmesAges18071902!B164</f>
        <v>64376</v>
      </c>
      <c r="C327">
        <f>NoblesFemmesAges18071902!C164</f>
        <v>65516</v>
      </c>
      <c r="D327">
        <f>NoblesFemmesAges18071902!D164</f>
        <v>66474</v>
      </c>
      <c r="E327">
        <f>NoblesFemmesAges18071902!E164</f>
        <v>132928</v>
      </c>
      <c r="F327">
        <f>NoblesFemmesAges18071902!F164</f>
        <v>116739</v>
      </c>
      <c r="G327">
        <f>NoblesFemmesAges18071902!G164</f>
        <v>94215</v>
      </c>
      <c r="H327">
        <f>NoblesFemmesAges18071902!H164</f>
        <v>92271</v>
      </c>
    </row>
    <row r="328" spans="1:8" ht="12.75">
      <c r="A328">
        <f>NoblesFemmesAges18071902!A165</f>
        <v>1827</v>
      </c>
      <c r="B328">
        <f>NoblesFemmesAges18071902!B165</f>
        <v>86717</v>
      </c>
      <c r="C328">
        <f>NoblesFemmesAges18071902!C165</f>
        <v>82130</v>
      </c>
      <c r="D328">
        <f>NoblesFemmesAges18071902!D165</f>
        <v>134996</v>
      </c>
      <c r="E328">
        <f>NoblesFemmesAges18071902!E165</f>
        <v>177942</v>
      </c>
      <c r="F328">
        <f>NoblesFemmesAges18071902!F165</f>
        <v>169997</v>
      </c>
      <c r="G328">
        <f>NoblesFemmesAges18071902!G165</f>
        <v>172789</v>
      </c>
      <c r="H328">
        <f>NoblesFemmesAges18071902!H165</f>
        <v>122205</v>
      </c>
    </row>
    <row r="329" spans="1:8" ht="12.75">
      <c r="A329">
        <f>NoblesFemmesAges18071902!A166</f>
        <v>1837</v>
      </c>
      <c r="B329">
        <f>NoblesFemmesAges18071902!B166</f>
        <v>121994</v>
      </c>
      <c r="C329">
        <f>NoblesFemmesAges18071902!C166</f>
        <v>125883</v>
      </c>
      <c r="D329">
        <f>NoblesFemmesAges18071902!D166</f>
        <v>170205</v>
      </c>
      <c r="E329">
        <f>NoblesFemmesAges18071902!E166</f>
        <v>153095</v>
      </c>
      <c r="F329">
        <f>NoblesFemmesAges18071902!F166</f>
        <v>174925</v>
      </c>
      <c r="G329">
        <f>NoblesFemmesAges18071902!G166</f>
        <v>194047</v>
      </c>
      <c r="H329">
        <f>NoblesFemmesAges18071902!H166</f>
        <v>165695</v>
      </c>
    </row>
    <row r="330" spans="1:8" ht="12.75">
      <c r="A330">
        <f>NoblesFemmesAges18071902!A167</f>
        <v>1847</v>
      </c>
      <c r="B330">
        <f>NoblesFemmesAges18071902!B167</f>
        <v>155839</v>
      </c>
      <c r="C330">
        <f>NoblesFemmesAges18071902!C167</f>
        <v>153197</v>
      </c>
      <c r="D330">
        <f>NoblesFemmesAges18071902!D167</f>
        <v>222811</v>
      </c>
      <c r="E330">
        <f>NoblesFemmesAges18071902!E167</f>
        <v>197951</v>
      </c>
      <c r="F330">
        <f>NoblesFemmesAges18071902!F167</f>
        <v>236398</v>
      </c>
      <c r="G330">
        <f>NoblesFemmesAges18071902!G167</f>
        <v>317228</v>
      </c>
      <c r="H330">
        <f>NoblesFemmesAges18071902!H167</f>
        <v>253960</v>
      </c>
    </row>
    <row r="331" spans="1:8" ht="12.75">
      <c r="A331">
        <f>NoblesFemmesAges18071902!A168</f>
        <v>1857</v>
      </c>
      <c r="B331">
        <f>NoblesFemmesAges18071902!B168</f>
        <v>374477</v>
      </c>
      <c r="C331">
        <f>NoblesFemmesAges18071902!C168</f>
        <v>216153</v>
      </c>
      <c r="D331">
        <f>NoblesFemmesAges18071902!D168</f>
        <v>258141</v>
      </c>
      <c r="E331">
        <f>NoblesFemmesAges18071902!E168</f>
        <v>294920</v>
      </c>
      <c r="F331">
        <f>NoblesFemmesAges18071902!F168</f>
        <v>283369</v>
      </c>
      <c r="G331">
        <f>NoblesFemmesAges18071902!G168</f>
        <v>262960</v>
      </c>
      <c r="H331">
        <f>NoblesFemmesAges18071902!H168</f>
        <v>270537</v>
      </c>
    </row>
    <row r="332" spans="1:8" ht="12.75">
      <c r="A332">
        <f>NoblesFemmesAges18071902!A169</f>
        <v>1867</v>
      </c>
      <c r="B332">
        <f>NoblesFemmesAges18071902!B169</f>
        <v>198196</v>
      </c>
      <c r="C332">
        <f>NoblesFemmesAges18071902!C169</f>
        <v>187861</v>
      </c>
      <c r="D332">
        <f>NoblesFemmesAges18071902!D169</f>
        <v>301235</v>
      </c>
      <c r="E332">
        <f>NoblesFemmesAges18071902!E169</f>
        <v>293896</v>
      </c>
      <c r="F332">
        <f>NoblesFemmesAges18071902!F169</f>
        <v>361281</v>
      </c>
      <c r="G332">
        <f>NoblesFemmesAges18071902!G169</f>
        <v>351827</v>
      </c>
      <c r="H332">
        <f>NoblesFemmesAges18071902!H169</f>
        <v>356213</v>
      </c>
    </row>
    <row r="333" spans="1:8" ht="12.75">
      <c r="A333">
        <f>NoblesFemmesAges18071902!A170</f>
        <v>1877</v>
      </c>
      <c r="B333">
        <f>NoblesFemmesAges18071902!B170</f>
        <v>310350</v>
      </c>
      <c r="C333">
        <f>NoblesFemmesAges18071902!C170</f>
        <v>469629</v>
      </c>
      <c r="D333">
        <f>NoblesFemmesAges18071902!D170</f>
        <v>357717</v>
      </c>
      <c r="E333">
        <f>NoblesFemmesAges18071902!E170</f>
        <v>383115</v>
      </c>
      <c r="F333">
        <f>NoblesFemmesAges18071902!F170</f>
        <v>547384</v>
      </c>
      <c r="G333">
        <f>NoblesFemmesAges18071902!G170</f>
        <v>643354</v>
      </c>
      <c r="H333">
        <f>NoblesFemmesAges18071902!H170</f>
        <v>841110</v>
      </c>
    </row>
    <row r="334" spans="1:8" ht="12.75">
      <c r="A334">
        <f>NoblesFemmesAges18071902!A171</f>
        <v>1887</v>
      </c>
      <c r="B334">
        <f>NoblesFemmesAges18071902!B171</f>
        <v>334545</v>
      </c>
      <c r="C334">
        <f>NoblesFemmesAges18071902!C171</f>
        <v>277861</v>
      </c>
      <c r="D334">
        <f>NoblesFemmesAges18071902!D171</f>
        <v>491142</v>
      </c>
      <c r="E334">
        <f>NoblesFemmesAges18071902!E171</f>
        <v>539412</v>
      </c>
      <c r="F334">
        <f>NoblesFemmesAges18071902!F171</f>
        <v>548869</v>
      </c>
      <c r="G334">
        <f>NoblesFemmesAges18071902!G171</f>
        <v>665566</v>
      </c>
      <c r="H334">
        <f>NoblesFemmesAges18071902!H171</f>
        <v>782039</v>
      </c>
    </row>
    <row r="335" spans="1:8" ht="12.75">
      <c r="A335">
        <f>NoblesFemmesAges18071902!A172</f>
        <v>1902</v>
      </c>
      <c r="B335">
        <f>NoblesFemmesAges18071902!B172</f>
        <v>335298</v>
      </c>
      <c r="C335">
        <f>NoblesFemmesAges18071902!C172</f>
        <v>607485</v>
      </c>
      <c r="D335">
        <f>NoblesFemmesAges18071902!D172</f>
        <v>477872</v>
      </c>
      <c r="E335">
        <f>NoblesFemmesAges18071902!E172</f>
        <v>471306</v>
      </c>
      <c r="F335">
        <f>NoblesFemmesAges18071902!F172</f>
        <v>684284</v>
      </c>
      <c r="G335">
        <f>NoblesFemmesAges18071902!G172</f>
        <v>852116</v>
      </c>
      <c r="H335">
        <f>NoblesFemmesAges18071902!H172</f>
        <v>809687</v>
      </c>
    </row>
    <row r="338" ht="12.75">
      <c r="A338" t="s">
        <v>440</v>
      </c>
    </row>
    <row r="339" spans="1:8" ht="12.75">
      <c r="A339" t="s">
        <v>432</v>
      </c>
      <c r="B339" t="s">
        <v>364</v>
      </c>
      <c r="C339" t="s">
        <v>365</v>
      </c>
      <c r="D339" t="s">
        <v>366</v>
      </c>
      <c r="E339" t="s">
        <v>367</v>
      </c>
      <c r="F339" t="s">
        <v>368</v>
      </c>
      <c r="G339" t="s">
        <v>369</v>
      </c>
      <c r="H339" t="s">
        <v>0</v>
      </c>
    </row>
    <row r="340" spans="1:10" ht="12.75">
      <c r="A340">
        <v>1817</v>
      </c>
      <c r="B340" s="10">
        <f>Q24*NoblesFemmesAges18071902!B196/100</f>
        <v>142.30337895718154</v>
      </c>
      <c r="C340" s="10">
        <f>R24*NoblesFemmesAges18071902!C196/100</f>
        <v>209.72786876458377</v>
      </c>
      <c r="D340" s="10">
        <f>S24*NoblesFemmesAges18071902!D196/100</f>
        <v>342.8428509543967</v>
      </c>
      <c r="E340" s="10">
        <f>T24*NoblesFemmesAges18071902!E196/100</f>
        <v>986.5566933239686</v>
      </c>
      <c r="F340" s="10">
        <f>U24*NoblesFemmesAges18071902!F196/100</f>
        <v>815.1730231618641</v>
      </c>
      <c r="G340" s="10">
        <f>V24*NoblesFemmesAges18071902!G196/100</f>
        <v>724.8043198601605</v>
      </c>
      <c r="H340" s="10">
        <f>W24*NoblesFemmesAges18071902!H196/100</f>
        <v>886.4601991149815</v>
      </c>
      <c r="J340" s="4"/>
    </row>
    <row r="341" spans="1:8" ht="12.75">
      <c r="A341">
        <v>1827</v>
      </c>
      <c r="B341" s="10">
        <f>Q44*NoblesFemmesAges18071902!B197/100</f>
        <v>201.4444967682674</v>
      </c>
      <c r="C341" s="10">
        <f>R44*NoblesFemmesAges18071902!C197/100</f>
        <v>445.15868302350856</v>
      </c>
      <c r="D341" s="10">
        <f>S44*NoblesFemmesAges18071902!D197/100</f>
        <v>802.9187654498456</v>
      </c>
      <c r="E341" s="10">
        <f>T44*NoblesFemmesAges18071902!E197/100</f>
        <v>2036.0328812431364</v>
      </c>
      <c r="F341" s="10">
        <f>U44*NoblesFemmesAges18071902!F197/100</f>
        <v>1610.494680541268</v>
      </c>
      <c r="G341" s="10">
        <f>V44*NoblesFemmesAges18071902!G197/100</f>
        <v>1558.256563475846</v>
      </c>
      <c r="H341" s="10">
        <f>W44*NoblesFemmesAges18071902!H197/100</f>
        <v>1015.1098931575865</v>
      </c>
    </row>
    <row r="342" spans="1:8" ht="12.75">
      <c r="A342">
        <v>1837</v>
      </c>
      <c r="B342" s="10">
        <f>Q64*NoblesFemmesAges18071902!B198/100</f>
        <v>186.6560752607403</v>
      </c>
      <c r="C342" s="10">
        <f>R64*NoblesFemmesAges18071902!C198/100</f>
        <v>483.76588339735196</v>
      </c>
      <c r="D342" s="10">
        <f>S64*NoblesFemmesAges18071902!D198/100</f>
        <v>1091.4885924831697</v>
      </c>
      <c r="E342" s="10">
        <f>T64*NoblesFemmesAges18071902!E198/100</f>
        <v>1263.158869521005</v>
      </c>
      <c r="F342" s="10">
        <f>U64*NoblesFemmesAges18071902!F198/100</f>
        <v>1865.3027587411405</v>
      </c>
      <c r="G342" s="10">
        <f>V64*NoblesFemmesAges18071902!G198/100</f>
        <v>1911.094525655234</v>
      </c>
      <c r="H342" s="10">
        <f>W64*NoblesFemmesAges18071902!H198/100</f>
        <v>2214.4026798142804</v>
      </c>
    </row>
    <row r="343" spans="1:8" ht="12.75">
      <c r="A343">
        <v>1847</v>
      </c>
      <c r="B343" s="10">
        <f>Q84*NoblesFemmesAges18071902!B199/100</f>
        <v>193.4332522698835</v>
      </c>
      <c r="C343" s="10">
        <f>R84*NoblesFemmesAges18071902!C199/100</f>
        <v>391.5556633467446</v>
      </c>
      <c r="D343" s="10">
        <f>S84*NoblesFemmesAges18071902!D199/100</f>
        <v>754.4898401213233</v>
      </c>
      <c r="E343" s="10">
        <f>T84*NoblesFemmesAges18071902!E199/100</f>
        <v>1338.1388312057506</v>
      </c>
      <c r="F343" s="10">
        <f>U84*NoblesFemmesAges18071902!F199/100</f>
        <v>2185.72080012012</v>
      </c>
      <c r="G343" s="10">
        <f>V84*NoblesFemmesAges18071902!G199/100</f>
        <v>2680.8149816409614</v>
      </c>
      <c r="H343" s="10">
        <f>W84*NoblesFemmesAges18071902!H199/100</f>
        <v>3463.652653968299</v>
      </c>
    </row>
    <row r="344" spans="1:8" ht="12.75">
      <c r="A344">
        <v>1857</v>
      </c>
      <c r="B344" s="10">
        <f>Q104*NoblesFemmesAges18071902!B200/100</f>
        <v>363.3593346356371</v>
      </c>
      <c r="C344" s="10">
        <f>R104*NoblesFemmesAges18071902!C200/100</f>
        <v>579.5946000203695</v>
      </c>
      <c r="D344" s="10">
        <f>S104*NoblesFemmesAges18071902!D200/100</f>
        <v>1158.9989586069503</v>
      </c>
      <c r="E344" s="10">
        <f>T104*NoblesFemmesAges18071902!E200/100</f>
        <v>2747.256691973376</v>
      </c>
      <c r="F344" s="10">
        <f>U104*NoblesFemmesAges18071902!F200/100</f>
        <v>4095.2058768193365</v>
      </c>
      <c r="G344" s="10">
        <f>V104*NoblesFemmesAges18071902!G200/100</f>
        <v>4070.6801626184592</v>
      </c>
      <c r="H344" s="10">
        <f>W104*NoblesFemmesAges18071902!H200/100</f>
        <v>7700.21867620239</v>
      </c>
    </row>
    <row r="345" spans="1:8" ht="12.75">
      <c r="A345">
        <v>1867</v>
      </c>
      <c r="B345" s="10">
        <f>Q124*NoblesFemmesAges18071902!B201/100</f>
        <v>400.3571109559461</v>
      </c>
      <c r="C345" s="10">
        <f>R124*NoblesFemmesAges18071902!C201/100</f>
        <v>452.04323086339195</v>
      </c>
      <c r="D345" s="10">
        <f>S124*NoblesFemmesAges18071902!D201/100</f>
        <v>1187.2739607521194</v>
      </c>
      <c r="E345" s="10">
        <f>T124*NoblesFemmesAges18071902!E201/100</f>
        <v>2167.467046067067</v>
      </c>
      <c r="F345" s="10">
        <f>U124*NoblesFemmesAges18071902!F201/100</f>
        <v>4830.6924151424</v>
      </c>
      <c r="G345" s="10">
        <f>V124*NoblesFemmesAges18071902!G201/100</f>
        <v>5384.528852548516</v>
      </c>
      <c r="H345" s="10">
        <f>W124*NoblesFemmesAges18071902!H201/100</f>
        <v>7657.909129448968</v>
      </c>
    </row>
    <row r="346" spans="1:8" ht="12.75">
      <c r="A346">
        <v>1877</v>
      </c>
      <c r="B346" s="10">
        <f>Q144*NoblesFemmesAges18071902!B202/100</f>
        <v>542.5191719784169</v>
      </c>
      <c r="C346" s="10">
        <f>R144*NoblesFemmesAges18071902!C202/100</f>
        <v>637.9954409256569</v>
      </c>
      <c r="D346" s="10">
        <f>S144*NoblesFemmesAges18071902!D202/100</f>
        <v>1172.9784663025225</v>
      </c>
      <c r="E346" s="10">
        <f>T144*NoblesFemmesAges18071902!E202/100</f>
        <v>2748.600821675452</v>
      </c>
      <c r="F346" s="10">
        <f>U144*NoblesFemmesAges18071902!F202/100</f>
        <v>5698.336979644706</v>
      </c>
      <c r="G346" s="10">
        <f>V144*NoblesFemmesAges18071902!G202/100</f>
        <v>7131.70532874674</v>
      </c>
      <c r="H346" s="10">
        <f>W144*NoblesFemmesAges18071902!H202/100</f>
        <v>14087.789811217615</v>
      </c>
    </row>
    <row r="347" spans="1:8" ht="12.75">
      <c r="A347">
        <v>1887</v>
      </c>
      <c r="B347" s="10">
        <f>Q164*NoblesFemmesAges18071902!B203/100</f>
        <v>418.9836912019335</v>
      </c>
      <c r="C347" s="10">
        <f>R164*NoblesFemmesAges18071902!C203/100</f>
        <v>503.17611851914955</v>
      </c>
      <c r="D347" s="10">
        <f>S164*NoblesFemmesAges18071902!D203/100</f>
        <v>1521.6858086919854</v>
      </c>
      <c r="E347" s="10">
        <f>T164*NoblesFemmesAges18071902!E203/100</f>
        <v>3234.199359026997</v>
      </c>
      <c r="F347" s="10">
        <f>U164*NoblesFemmesAges18071902!F203/100</f>
        <v>4845.477117433856</v>
      </c>
      <c r="G347" s="10">
        <f>V164*NoblesFemmesAges18071902!G203/100</f>
        <v>10814.125109419581</v>
      </c>
      <c r="H347" s="10">
        <f>W164*NoblesFemmesAges18071902!H203/100</f>
        <v>18869.11544268144</v>
      </c>
    </row>
    <row r="348" spans="1:10" ht="12.75">
      <c r="A348">
        <v>1902</v>
      </c>
      <c r="B348" s="10">
        <f>Q204*NoblesFemmesAges18071902!B204/100</f>
        <v>1155.9450084246278</v>
      </c>
      <c r="C348" s="10">
        <f>R204*NoblesFemmesAges18071902!C204/100</f>
        <v>1339.025591628305</v>
      </c>
      <c r="D348" s="10">
        <f>S204*NoblesFemmesAges18071902!D204/100</f>
        <v>2260.999334860943</v>
      </c>
      <c r="E348" s="10">
        <f>T204*NoblesFemmesAges18071902!E204/100</f>
        <v>2341.3002966567738</v>
      </c>
      <c r="F348" s="10">
        <f>U204*NoblesFemmesAges18071902!F204/100</f>
        <v>2726.6779547401775</v>
      </c>
      <c r="G348" s="10">
        <f>V204*NoblesFemmesAges18071902!G204/100</f>
        <v>3919.785771712625</v>
      </c>
      <c r="H348" s="10">
        <f>W204*NoblesFemmesAges18071902!H204/100</f>
        <v>5331.672727378918</v>
      </c>
      <c r="J348" s="4">
        <f>SUMPRODUCT(B348:H348,Q198:W198)/X198</f>
        <v>1787.3283412848975</v>
      </c>
    </row>
    <row r="350" ht="12.75">
      <c r="A350" t="s">
        <v>441</v>
      </c>
    </row>
    <row r="351" spans="1:8" ht="12.75">
      <c r="A351" t="s">
        <v>435</v>
      </c>
      <c r="B351" t="s">
        <v>364</v>
      </c>
      <c r="C351" t="s">
        <v>365</v>
      </c>
      <c r="D351" t="s">
        <v>366</v>
      </c>
      <c r="E351" t="s">
        <v>367</v>
      </c>
      <c r="F351" t="s">
        <v>368</v>
      </c>
      <c r="G351" t="s">
        <v>369</v>
      </c>
      <c r="H351" t="s">
        <v>0</v>
      </c>
    </row>
    <row r="352" spans="1:8" ht="12.75">
      <c r="A352">
        <v>1817</v>
      </c>
      <c r="B352" s="10">
        <f aca="true" t="shared" si="243" ref="B352:H352">Q19*B327+(1-Q19)*B340</f>
        <v>1430.5832357658119</v>
      </c>
      <c r="C352" s="10">
        <f t="shared" si="243"/>
        <v>2010.711935424658</v>
      </c>
      <c r="D352" s="10">
        <f t="shared" si="243"/>
        <v>3276.147696246797</v>
      </c>
      <c r="E352" s="10">
        <f t="shared" si="243"/>
        <v>9272.470748354192</v>
      </c>
      <c r="F352" s="10">
        <f t="shared" si="243"/>
        <v>7635.212489094052</v>
      </c>
      <c r="G352" s="10">
        <f t="shared" si="243"/>
        <v>6684.580746078035</v>
      </c>
      <c r="H352" s="10">
        <f t="shared" si="243"/>
        <v>8160.126973012876</v>
      </c>
    </row>
    <row r="353" spans="1:8" ht="12.75">
      <c r="A353">
        <v>1827</v>
      </c>
      <c r="B353" s="10">
        <f aca="true" t="shared" si="244" ref="B353:H353">Q39*B328+(1-Q39)*B341</f>
        <v>1643.99196297126</v>
      </c>
      <c r="C353" s="10">
        <f t="shared" si="244"/>
        <v>3582.8642750246295</v>
      </c>
      <c r="D353" s="10">
        <f t="shared" si="244"/>
        <v>6533.143141815382</v>
      </c>
      <c r="E353" s="10">
        <f t="shared" si="244"/>
        <v>15630.026036949766</v>
      </c>
      <c r="F353" s="10">
        <f t="shared" si="244"/>
        <v>12687.790154217948</v>
      </c>
      <c r="G353" s="10">
        <f t="shared" si="244"/>
        <v>12129.429200104421</v>
      </c>
      <c r="H353" s="10">
        <f t="shared" si="244"/>
        <v>7942.019759617251</v>
      </c>
    </row>
    <row r="354" spans="1:8" ht="12.75">
      <c r="A354">
        <v>1837</v>
      </c>
      <c r="B354" s="10">
        <f aca="true" t="shared" si="245" ref="B354:H354">Q59*B329+(1-Q59)*B342</f>
        <v>1600.9991079757951</v>
      </c>
      <c r="C354" s="10">
        <f t="shared" si="245"/>
        <v>3979.4509806544684</v>
      </c>
      <c r="D354" s="10">
        <f t="shared" si="245"/>
        <v>8955.233665736352</v>
      </c>
      <c r="E354" s="10">
        <f t="shared" si="245"/>
        <v>10190.565593566975</v>
      </c>
      <c r="F354" s="10">
        <f t="shared" si="245"/>
        <v>14315.331887414439</v>
      </c>
      <c r="G354" s="10">
        <f t="shared" si="245"/>
        <v>15105.511633790415</v>
      </c>
      <c r="H354" s="10">
        <f t="shared" si="245"/>
        <v>17246.502934899145</v>
      </c>
    </row>
    <row r="355" spans="1:8" ht="12.75">
      <c r="A355">
        <v>1847</v>
      </c>
      <c r="B355" s="10">
        <f aca="true" t="shared" si="246" ref="B355:H355">Q79*B330+(1-Q79)*B343</f>
        <v>2043.0783769721788</v>
      </c>
      <c r="C355" s="10">
        <f t="shared" si="246"/>
        <v>4076.484038540313</v>
      </c>
      <c r="D355" s="10">
        <f t="shared" si="246"/>
        <v>7637.893654344143</v>
      </c>
      <c r="E355" s="10">
        <f t="shared" si="246"/>
        <v>13383.927858979152</v>
      </c>
      <c r="F355" s="10">
        <f t="shared" si="246"/>
        <v>20950.565392378005</v>
      </c>
      <c r="G355" s="10">
        <f t="shared" si="246"/>
        <v>25926.26309311959</v>
      </c>
      <c r="H355" s="10">
        <f t="shared" si="246"/>
        <v>32583.601914280916</v>
      </c>
    </row>
    <row r="356" spans="1:8" ht="12.75">
      <c r="A356">
        <v>1857</v>
      </c>
      <c r="B356" s="10">
        <f aca="true" t="shared" si="247" ref="B356:H356">Q99*B331+(1-Q99)*B344</f>
        <v>2835.483789451005</v>
      </c>
      <c r="C356" s="10">
        <f t="shared" si="247"/>
        <v>4422.389442958509</v>
      </c>
      <c r="D356" s="10">
        <f t="shared" si="247"/>
        <v>8760.499672004353</v>
      </c>
      <c r="E356" s="10">
        <f t="shared" si="247"/>
        <v>19378.73286247239</v>
      </c>
      <c r="F356" s="10">
        <f t="shared" si="247"/>
        <v>28655.72883019302</v>
      </c>
      <c r="G356" s="10">
        <f t="shared" si="247"/>
        <v>27557.34892281192</v>
      </c>
      <c r="H356" s="10">
        <f t="shared" si="247"/>
        <v>50117.19298812002</v>
      </c>
    </row>
    <row r="357" spans="1:8" ht="12.75">
      <c r="A357">
        <v>1867</v>
      </c>
      <c r="B357" s="10">
        <f aca="true" t="shared" si="248" ref="B357:H357">Q119*B332+(1-Q119)*B345</f>
        <v>3022.844361335215</v>
      </c>
      <c r="C357" s="10">
        <f t="shared" si="248"/>
        <v>3374.9018015373094</v>
      </c>
      <c r="D357" s="10">
        <f t="shared" si="248"/>
        <v>8602.006502219003</v>
      </c>
      <c r="E357" s="10">
        <f t="shared" si="248"/>
        <v>15731.82126348823</v>
      </c>
      <c r="F357" s="10">
        <f t="shared" si="248"/>
        <v>34137.29670394715</v>
      </c>
      <c r="G357" s="10">
        <f t="shared" si="248"/>
        <v>36956.72166959664</v>
      </c>
      <c r="H357" s="10">
        <f t="shared" si="248"/>
        <v>51279.636416941226</v>
      </c>
    </row>
    <row r="358" spans="1:8" ht="12.75">
      <c r="A358">
        <v>1877</v>
      </c>
      <c r="B358" s="10">
        <f aca="true" t="shared" si="249" ref="B358:H358">Q139*B333+(1-Q139)*B346</f>
        <v>3883.1648015103624</v>
      </c>
      <c r="C358" s="10">
        <f t="shared" si="249"/>
        <v>7899.975851619198</v>
      </c>
      <c r="D358" s="10">
        <f t="shared" si="249"/>
        <v>10464.900477579444</v>
      </c>
      <c r="E358" s="10">
        <f t="shared" si="249"/>
        <v>20637.740514229554</v>
      </c>
      <c r="F358" s="10">
        <f t="shared" si="249"/>
        <v>46182.12422066681</v>
      </c>
      <c r="G358" s="10">
        <f t="shared" si="249"/>
        <v>66329.17830648531</v>
      </c>
      <c r="H358" s="10">
        <f t="shared" si="249"/>
        <v>128779.9160416974</v>
      </c>
    </row>
    <row r="359" spans="1:8" ht="12.75">
      <c r="A359">
        <v>1887</v>
      </c>
      <c r="B359" s="10">
        <f aca="true" t="shared" si="250" ref="B359:H359">Q159*B334+(1-Q159)*B347</f>
        <v>3496.746125187458</v>
      </c>
      <c r="C359" s="10">
        <f t="shared" si="250"/>
        <v>3479.426016302995</v>
      </c>
      <c r="D359" s="10">
        <f t="shared" si="250"/>
        <v>13919.137642698597</v>
      </c>
      <c r="E359" s="10">
        <f t="shared" si="250"/>
        <v>28096.37236523587</v>
      </c>
      <c r="F359" s="10">
        <f t="shared" si="250"/>
        <v>39558.432133151975</v>
      </c>
      <c r="G359" s="10">
        <f t="shared" si="250"/>
        <v>79051.58200301544</v>
      </c>
      <c r="H359" s="10">
        <f t="shared" si="250"/>
        <v>153011.29892507134</v>
      </c>
    </row>
    <row r="360" spans="1:8" ht="12.75">
      <c r="A360">
        <v>1902</v>
      </c>
      <c r="B360" s="10">
        <f aca="true" t="shared" si="251" ref="B360:H360">Q199*B335+(1-Q199)*B348</f>
        <v>5252.349315494668</v>
      </c>
      <c r="C360" s="10">
        <f t="shared" si="251"/>
        <v>8097.465195894589</v>
      </c>
      <c r="D360" s="10">
        <f t="shared" si="251"/>
        <v>13431.443601447896</v>
      </c>
      <c r="E360" s="10">
        <f t="shared" si="251"/>
        <v>27938.592266927015</v>
      </c>
      <c r="F360" s="10">
        <f t="shared" si="251"/>
        <v>49276.43846731377</v>
      </c>
      <c r="G360" s="10">
        <f t="shared" si="251"/>
        <v>78887.79190426008</v>
      </c>
      <c r="H360" s="10">
        <f t="shared" si="251"/>
        <v>94476.28766006161</v>
      </c>
    </row>
    <row r="362" ht="12.75">
      <c r="A362" t="s">
        <v>442</v>
      </c>
    </row>
    <row r="363" spans="1:8" ht="12.75">
      <c r="A363" t="s">
        <v>435</v>
      </c>
      <c r="B363" t="s">
        <v>364</v>
      </c>
      <c r="C363" t="s">
        <v>365</v>
      </c>
      <c r="D363" t="s">
        <v>366</v>
      </c>
      <c r="E363" t="s">
        <v>367</v>
      </c>
      <c r="F363" t="s">
        <v>368</v>
      </c>
      <c r="G363" t="s">
        <v>369</v>
      </c>
      <c r="H363" t="s">
        <v>0</v>
      </c>
    </row>
    <row r="364" spans="1:8" ht="12.75">
      <c r="A364">
        <v>1817</v>
      </c>
      <c r="B364" s="10">
        <f aca="true" t="shared" si="252" ref="B364:B372">100*B352/$E352</f>
        <v>15.4282852390743</v>
      </c>
      <c r="C364" s="10">
        <f aca="true" t="shared" si="253" ref="C364:H368">100*C352/$E352</f>
        <v>21.684748218607726</v>
      </c>
      <c r="D364" s="10">
        <f t="shared" si="253"/>
        <v>35.33198200520928</v>
      </c>
      <c r="E364" s="10">
        <f t="shared" si="253"/>
        <v>100</v>
      </c>
      <c r="F364" s="10">
        <f t="shared" si="253"/>
        <v>82.3428048068985</v>
      </c>
      <c r="G364" s="10">
        <f t="shared" si="253"/>
        <v>72.09061023206256</v>
      </c>
      <c r="H364" s="10">
        <f t="shared" si="253"/>
        <v>88.00380388863722</v>
      </c>
    </row>
    <row r="365" spans="1:8" ht="12.75">
      <c r="A365">
        <v>1827</v>
      </c>
      <c r="B365" s="10">
        <f t="shared" si="252"/>
        <v>10.518165223044557</v>
      </c>
      <c r="C365" s="10">
        <f t="shared" si="253"/>
        <v>22.922957815646946</v>
      </c>
      <c r="D365" s="10">
        <f t="shared" si="253"/>
        <v>41.79867088110327</v>
      </c>
      <c r="E365" s="10">
        <f t="shared" si="253"/>
        <v>100</v>
      </c>
      <c r="F365" s="10">
        <f t="shared" si="253"/>
        <v>81.17574548003758</v>
      </c>
      <c r="G365" s="10">
        <f t="shared" si="253"/>
        <v>77.60338448208692</v>
      </c>
      <c r="H365" s="10">
        <f t="shared" si="253"/>
        <v>50.812581763089334</v>
      </c>
    </row>
    <row r="366" spans="1:8" ht="12.75">
      <c r="A366">
        <v>1837</v>
      </c>
      <c r="B366" s="10">
        <f t="shared" si="252"/>
        <v>15.710601077789656</v>
      </c>
      <c r="C366" s="10">
        <f t="shared" si="253"/>
        <v>39.05034459683559</v>
      </c>
      <c r="D366" s="10">
        <f t="shared" si="253"/>
        <v>87.87769023722831</v>
      </c>
      <c r="E366" s="10">
        <f t="shared" si="253"/>
        <v>100</v>
      </c>
      <c r="F366" s="10">
        <f t="shared" si="253"/>
        <v>140.47632347758318</v>
      </c>
      <c r="G366" s="10">
        <f t="shared" si="253"/>
        <v>148.2303557648077</v>
      </c>
      <c r="H366" s="10">
        <f t="shared" si="253"/>
        <v>169.23989916503152</v>
      </c>
    </row>
    <row r="367" spans="1:8" ht="12.75">
      <c r="A367">
        <v>1847</v>
      </c>
      <c r="B367" s="10">
        <f t="shared" si="252"/>
        <v>15.26516280197593</v>
      </c>
      <c r="C367" s="10">
        <f t="shared" si="253"/>
        <v>30.45805447767292</v>
      </c>
      <c r="D367" s="10">
        <f t="shared" si="253"/>
        <v>57.067654090947244</v>
      </c>
      <c r="E367" s="10">
        <f t="shared" si="253"/>
        <v>100</v>
      </c>
      <c r="F367" s="10">
        <f t="shared" si="253"/>
        <v>156.5352534257906</v>
      </c>
      <c r="G367" s="10">
        <f t="shared" si="253"/>
        <v>193.71191601070907</v>
      </c>
      <c r="H367" s="10">
        <f t="shared" si="253"/>
        <v>243.45320938367794</v>
      </c>
    </row>
    <row r="368" spans="1:8" ht="12.75">
      <c r="A368">
        <v>1857</v>
      </c>
      <c r="B368" s="10">
        <f t="shared" si="252"/>
        <v>14.631935996919703</v>
      </c>
      <c r="C368" s="10">
        <f t="shared" si="253"/>
        <v>22.82083908346053</v>
      </c>
      <c r="D368" s="10">
        <f t="shared" si="253"/>
        <v>45.206772466374076</v>
      </c>
      <c r="E368" s="10">
        <f t="shared" si="253"/>
        <v>100</v>
      </c>
      <c r="F368" s="10">
        <f t="shared" si="253"/>
        <v>147.87204629713364</v>
      </c>
      <c r="G368" s="10">
        <f t="shared" si="253"/>
        <v>142.20408072283053</v>
      </c>
      <c r="H368" s="10">
        <f t="shared" si="253"/>
        <v>258.6195565199919</v>
      </c>
    </row>
    <row r="369" spans="1:8" ht="12.75">
      <c r="A369">
        <v>1867</v>
      </c>
      <c r="B369" s="10">
        <f t="shared" si="252"/>
        <v>19.214840486084682</v>
      </c>
      <c r="C369" s="10">
        <f aca="true" t="shared" si="254" ref="C369:H371">100*C357/$E357</f>
        <v>21.45270878057885</v>
      </c>
      <c r="D369" s="10">
        <f t="shared" si="254"/>
        <v>54.67902513095088</v>
      </c>
      <c r="E369" s="10">
        <f t="shared" si="254"/>
        <v>100</v>
      </c>
      <c r="F369" s="10">
        <f t="shared" si="254"/>
        <v>216.99519802691847</v>
      </c>
      <c r="G369" s="10">
        <f t="shared" si="254"/>
        <v>234.91699435569484</v>
      </c>
      <c r="H369" s="10">
        <f t="shared" si="254"/>
        <v>325.9612193532572</v>
      </c>
    </row>
    <row r="370" spans="1:8" ht="12.75">
      <c r="A370">
        <v>1877</v>
      </c>
      <c r="B370" s="10">
        <f t="shared" si="252"/>
        <v>18.815842746123064</v>
      </c>
      <c r="C370" s="10">
        <f t="shared" si="254"/>
        <v>38.279267278180136</v>
      </c>
      <c r="D370" s="10">
        <f t="shared" si="254"/>
        <v>50.70758821860358</v>
      </c>
      <c r="E370" s="10">
        <f t="shared" si="254"/>
        <v>100</v>
      </c>
      <c r="F370" s="10">
        <f t="shared" si="254"/>
        <v>223.77509877510386</v>
      </c>
      <c r="G370" s="10">
        <f t="shared" si="254"/>
        <v>321.39748176769587</v>
      </c>
      <c r="H370" s="10">
        <f t="shared" si="254"/>
        <v>624.0020120075873</v>
      </c>
    </row>
    <row r="371" spans="1:8" ht="12.75">
      <c r="A371">
        <v>1887</v>
      </c>
      <c r="B371" s="10">
        <f t="shared" si="252"/>
        <v>12.44554307485632</v>
      </c>
      <c r="C371" s="10">
        <f t="shared" si="254"/>
        <v>12.383897718440508</v>
      </c>
      <c r="D371" s="10">
        <f t="shared" si="254"/>
        <v>49.54069323170342</v>
      </c>
      <c r="E371" s="10">
        <f t="shared" si="254"/>
        <v>100</v>
      </c>
      <c r="F371" s="10">
        <f t="shared" si="254"/>
        <v>140.7955148761422</v>
      </c>
      <c r="G371" s="10">
        <f t="shared" si="254"/>
        <v>281.35867853469705</v>
      </c>
      <c r="H371" s="10">
        <f t="shared" si="254"/>
        <v>544.5945011548711</v>
      </c>
    </row>
    <row r="372" spans="1:8" ht="12.75">
      <c r="A372">
        <v>1902</v>
      </c>
      <c r="B372" s="10">
        <f t="shared" si="252"/>
        <v>18.79962048664944</v>
      </c>
      <c r="C372" s="10">
        <f aca="true" t="shared" si="255" ref="C372:H372">100*C360/$E360</f>
        <v>28.98308232043659</v>
      </c>
      <c r="D372" s="10">
        <f t="shared" si="255"/>
        <v>48.074876046448814</v>
      </c>
      <c r="E372" s="10">
        <f t="shared" si="255"/>
        <v>100.00000000000001</v>
      </c>
      <c r="F372" s="10">
        <f t="shared" si="255"/>
        <v>176.37409213937363</v>
      </c>
      <c r="G372" s="10">
        <f t="shared" si="255"/>
        <v>282.36137007391534</v>
      </c>
      <c r="H372" s="10">
        <f t="shared" si="255"/>
        <v>338.15693631744</v>
      </c>
    </row>
    <row r="374" ht="12.75">
      <c r="A374" t="s">
        <v>456</v>
      </c>
    </row>
    <row r="375" spans="1:10" ht="12.75">
      <c r="A375" t="s">
        <v>435</v>
      </c>
      <c r="B375" t="s">
        <v>364</v>
      </c>
      <c r="C375" t="s">
        <v>365</v>
      </c>
      <c r="D375" t="s">
        <v>366</v>
      </c>
      <c r="E375" t="s">
        <v>367</v>
      </c>
      <c r="F375" t="s">
        <v>368</v>
      </c>
      <c r="G375" t="s">
        <v>369</v>
      </c>
      <c r="H375" t="s">
        <v>0</v>
      </c>
      <c r="I375" t="s">
        <v>458</v>
      </c>
      <c r="J375" t="s">
        <v>480</v>
      </c>
    </row>
    <row r="376" spans="1:10" ht="12.75">
      <c r="A376">
        <v>1817</v>
      </c>
      <c r="B376" s="22">
        <f>Q21</f>
        <v>28.82659574254221</v>
      </c>
      <c r="C376" s="22">
        <f aca="true" t="shared" si="256" ref="C376:H376">R21</f>
        <v>23.45139948495576</v>
      </c>
      <c r="D376" s="22">
        <f t="shared" si="256"/>
        <v>18.19802867923921</v>
      </c>
      <c r="E376" s="22">
        <f t="shared" si="256"/>
        <v>14.740678644159113</v>
      </c>
      <c r="F376" s="22">
        <f t="shared" si="256"/>
        <v>10.016223290372773</v>
      </c>
      <c r="G376" s="22">
        <f t="shared" si="256"/>
        <v>3.9167083808271665</v>
      </c>
      <c r="H376" s="22">
        <f t="shared" si="256"/>
        <v>0.8503657779037579</v>
      </c>
      <c r="I376" s="6">
        <f>F376+G376+H376</f>
        <v>14.783297449103697</v>
      </c>
      <c r="J376" s="6">
        <f>G376+H376</f>
        <v>4.767074158730924</v>
      </c>
    </row>
    <row r="377" spans="1:10" ht="12.75">
      <c r="A377">
        <v>1827</v>
      </c>
      <c r="B377" s="22">
        <f>Q41</f>
        <v>29.66454030143845</v>
      </c>
      <c r="C377" s="22">
        <f aca="true" t="shared" si="257" ref="C377:H377">R41</f>
        <v>26.587054024952494</v>
      </c>
      <c r="D377" s="22">
        <f t="shared" si="257"/>
        <v>18.16059711271406</v>
      </c>
      <c r="E377" s="22">
        <f t="shared" si="257"/>
        <v>12.737963003572187</v>
      </c>
      <c r="F377" s="22">
        <f t="shared" si="257"/>
        <v>8.420907537572399</v>
      </c>
      <c r="G377" s="22">
        <f t="shared" si="257"/>
        <v>3.6138959921879135</v>
      </c>
      <c r="H377" s="22">
        <f t="shared" si="257"/>
        <v>0.8150420275624909</v>
      </c>
      <c r="I377" s="6">
        <f aca="true" t="shared" si="258" ref="I377:I384">F377+G377+H377</f>
        <v>12.849845557322803</v>
      </c>
      <c r="J377" s="6">
        <f aca="true" t="shared" si="259" ref="J377:J384">G377+H377</f>
        <v>4.4289380197504045</v>
      </c>
    </row>
    <row r="378" spans="1:10" ht="12.75">
      <c r="A378">
        <v>1837</v>
      </c>
      <c r="B378" s="22">
        <f>Q61</f>
        <v>30.33703876994562</v>
      </c>
      <c r="C378" s="22">
        <f aca="true" t="shared" si="260" ref="C378:H378">R61</f>
        <v>29.103596263371035</v>
      </c>
      <c r="D378" s="22">
        <f t="shared" si="260"/>
        <v>18.130556138171375</v>
      </c>
      <c r="E378" s="22">
        <f t="shared" si="260"/>
        <v>11.130669076007164</v>
      </c>
      <c r="F378" s="22">
        <f t="shared" si="260"/>
        <v>7.140575337603457</v>
      </c>
      <c r="G378" s="22">
        <f t="shared" si="260"/>
        <v>3.370871718752521</v>
      </c>
      <c r="H378" s="22">
        <f t="shared" si="260"/>
        <v>0.7866926961488198</v>
      </c>
      <c r="I378" s="6">
        <f t="shared" si="258"/>
        <v>11.298139752504797</v>
      </c>
      <c r="J378" s="6">
        <f t="shared" si="259"/>
        <v>4.157564414901341</v>
      </c>
    </row>
    <row r="379" spans="1:10" ht="12.75">
      <c r="A379">
        <v>1847</v>
      </c>
      <c r="B379" s="22">
        <f>Q81</f>
        <v>31.011844967143045</v>
      </c>
      <c r="C379" s="22">
        <f aca="true" t="shared" si="261" ref="C379:H379">R81</f>
        <v>26.623200392045387</v>
      </c>
      <c r="D379" s="22">
        <f t="shared" si="261"/>
        <v>19.35235336563506</v>
      </c>
      <c r="E379" s="22">
        <f t="shared" si="261"/>
        <v>13.070880725849912</v>
      </c>
      <c r="F379" s="22">
        <f t="shared" si="261"/>
        <v>6.597887225211297</v>
      </c>
      <c r="G379" s="22">
        <f t="shared" si="261"/>
        <v>2.7347995590775613</v>
      </c>
      <c r="H379" s="22">
        <f t="shared" si="261"/>
        <v>0.6090337650377318</v>
      </c>
      <c r="I379" s="6">
        <f t="shared" si="258"/>
        <v>9.94172054932659</v>
      </c>
      <c r="J379" s="6">
        <f t="shared" si="259"/>
        <v>3.343833324115293</v>
      </c>
    </row>
    <row r="380" spans="1:10" ht="12.75">
      <c r="A380">
        <v>1857</v>
      </c>
      <c r="B380" s="22">
        <f>Q101</f>
        <v>31.053393103242865</v>
      </c>
      <c r="C380" s="22">
        <f aca="true" t="shared" si="262" ref="C380:H380">R101</f>
        <v>27.65931609812316</v>
      </c>
      <c r="D380" s="22">
        <f t="shared" si="262"/>
        <v>19.13419933257189</v>
      </c>
      <c r="E380" s="22">
        <f t="shared" si="262"/>
        <v>12.627061655189635</v>
      </c>
      <c r="F380" s="22">
        <f t="shared" si="262"/>
        <v>6.398534545075455</v>
      </c>
      <c r="G380" s="22">
        <f t="shared" si="262"/>
        <v>2.5661499616795913</v>
      </c>
      <c r="H380" s="22">
        <f t="shared" si="262"/>
        <v>0.5613453041174106</v>
      </c>
      <c r="I380" s="6">
        <f t="shared" si="258"/>
        <v>9.526029810872455</v>
      </c>
      <c r="J380" s="6">
        <f t="shared" si="259"/>
        <v>3.127495265797002</v>
      </c>
    </row>
    <row r="381" spans="1:10" ht="12.75">
      <c r="A381">
        <v>1867</v>
      </c>
      <c r="B381" s="22">
        <f>Q121</f>
        <v>29.537417559376305</v>
      </c>
      <c r="C381" s="22">
        <f aca="true" t="shared" si="263" ref="C381:H381">R121</f>
        <v>27.65582707483512</v>
      </c>
      <c r="D381" s="22">
        <f t="shared" si="263"/>
        <v>20.253364339903168</v>
      </c>
      <c r="E381" s="22">
        <f t="shared" si="263"/>
        <v>12.175060043460029</v>
      </c>
      <c r="F381" s="22">
        <f t="shared" si="263"/>
        <v>7.055697457207121</v>
      </c>
      <c r="G381" s="22">
        <f t="shared" si="263"/>
        <v>2.75589950821547</v>
      </c>
      <c r="H381" s="22">
        <f t="shared" si="263"/>
        <v>0.5667340170027829</v>
      </c>
      <c r="I381" s="6">
        <f>F381+G381+H381</f>
        <v>10.378330982425375</v>
      </c>
      <c r="J381" s="6">
        <f t="shared" si="259"/>
        <v>3.322633525218253</v>
      </c>
    </row>
    <row r="382" spans="1:10" ht="12.75">
      <c r="A382">
        <v>1877</v>
      </c>
      <c r="B382" s="22">
        <f>Q141</f>
        <v>29.86060633032196</v>
      </c>
      <c r="C382" s="22">
        <f aca="true" t="shared" si="264" ref="C382:H382">R141</f>
        <v>26.192913266239582</v>
      </c>
      <c r="D382" s="22">
        <f t="shared" si="264"/>
        <v>20.700380254458967</v>
      </c>
      <c r="E382" s="22">
        <f t="shared" si="264"/>
        <v>13.30466767116572</v>
      </c>
      <c r="F382" s="22">
        <f t="shared" si="264"/>
        <v>6.766099357812878</v>
      </c>
      <c r="G382" s="22">
        <f t="shared" si="264"/>
        <v>2.6036445938242383</v>
      </c>
      <c r="H382" s="22">
        <f t="shared" si="264"/>
        <v>0.5716885261766662</v>
      </c>
      <c r="I382" s="6">
        <f t="shared" si="258"/>
        <v>9.941432477813782</v>
      </c>
      <c r="J382" s="6">
        <f t="shared" si="259"/>
        <v>3.1753331200009045</v>
      </c>
    </row>
    <row r="383" spans="1:10" ht="12.75">
      <c r="A383">
        <v>1887</v>
      </c>
      <c r="B383" s="22">
        <f>Q161</f>
        <v>28.817156775843355</v>
      </c>
      <c r="C383" s="22">
        <f aca="true" t="shared" si="265" ref="C383:H383">R161</f>
        <v>26.321096996204275</v>
      </c>
      <c r="D383" s="22">
        <f t="shared" si="265"/>
        <v>20.121897911258227</v>
      </c>
      <c r="E383" s="22">
        <f t="shared" si="265"/>
        <v>13.70686703304442</v>
      </c>
      <c r="F383" s="22">
        <f t="shared" si="265"/>
        <v>7.518838988875098</v>
      </c>
      <c r="G383" s="22">
        <f t="shared" si="265"/>
        <v>2.9045313141272375</v>
      </c>
      <c r="H383" s="22">
        <f t="shared" si="265"/>
        <v>0.6096109806473861</v>
      </c>
      <c r="I383" s="6">
        <f t="shared" si="258"/>
        <v>11.032981283649722</v>
      </c>
      <c r="J383" s="6">
        <f t="shared" si="259"/>
        <v>3.5141422947746235</v>
      </c>
    </row>
    <row r="384" spans="1:10" ht="12.75">
      <c r="A384">
        <v>1902</v>
      </c>
      <c r="B384" s="22">
        <f aca="true" t="shared" si="266" ref="B384:H384">Q201</f>
        <v>29.277043629840204</v>
      </c>
      <c r="C384" s="22">
        <f t="shared" si="266"/>
        <v>26.750701876749513</v>
      </c>
      <c r="D384" s="22">
        <f t="shared" si="266"/>
        <v>20.103522286465203</v>
      </c>
      <c r="E384" s="22">
        <f t="shared" si="266"/>
        <v>12.914998554273803</v>
      </c>
      <c r="F384" s="22">
        <f t="shared" si="266"/>
        <v>7.414347200213905</v>
      </c>
      <c r="G384" s="22">
        <f t="shared" si="266"/>
        <v>2.972288693384792</v>
      </c>
      <c r="H384" s="22">
        <f t="shared" si="266"/>
        <v>0.5670977590725795</v>
      </c>
      <c r="I384" s="6">
        <f t="shared" si="258"/>
        <v>10.953733652671277</v>
      </c>
      <c r="J384" s="6">
        <f t="shared" si="259"/>
        <v>3.5393864524573715</v>
      </c>
    </row>
    <row r="386" ht="12.75">
      <c r="A386" t="s">
        <v>457</v>
      </c>
    </row>
    <row r="387" spans="1:10" ht="12.75">
      <c r="A387" t="s">
        <v>435</v>
      </c>
      <c r="B387" t="s">
        <v>364</v>
      </c>
      <c r="C387" t="s">
        <v>365</v>
      </c>
      <c r="D387" t="s">
        <v>366</v>
      </c>
      <c r="E387" t="s">
        <v>367</v>
      </c>
      <c r="F387" t="s">
        <v>368</v>
      </c>
      <c r="G387" t="s">
        <v>369</v>
      </c>
      <c r="H387" t="s">
        <v>0</v>
      </c>
      <c r="I387" t="s">
        <v>458</v>
      </c>
      <c r="J387" t="s">
        <v>480</v>
      </c>
    </row>
    <row r="388" spans="1:10" ht="12.75">
      <c r="A388">
        <v>1817</v>
      </c>
      <c r="B388" s="22">
        <f aca="true" t="shared" si="267" ref="B388:B396">100*B352*B376/SUMPRODUCT($B352:$H352,$B376:$H376)</f>
        <v>10.45897553249861</v>
      </c>
      <c r="C388" s="22">
        <f aca="true" t="shared" si="268" ref="C388:H392">100*C352*C376/SUMPRODUCT($B352:$H352,$B376:$H376)</f>
        <v>11.959176582431075</v>
      </c>
      <c r="D388" s="22">
        <f t="shared" si="268"/>
        <v>15.120650510240392</v>
      </c>
      <c r="E388" s="22">
        <f t="shared" si="268"/>
        <v>34.66535149818638</v>
      </c>
      <c r="F388" s="22">
        <f t="shared" si="268"/>
        <v>19.395803853940173</v>
      </c>
      <c r="G388" s="22">
        <f t="shared" si="268"/>
        <v>6.6401527321813</v>
      </c>
      <c r="H388" s="22">
        <f t="shared" si="268"/>
        <v>1.7598892905220607</v>
      </c>
      <c r="I388" s="6">
        <f>F388+G388+H388</f>
        <v>27.795845876643533</v>
      </c>
      <c r="J388" s="6">
        <f>G388+H388</f>
        <v>8.40004202270336</v>
      </c>
    </row>
    <row r="389" spans="1:10" ht="12.75">
      <c r="A389">
        <v>1827</v>
      </c>
      <c r="B389" s="22">
        <f t="shared" si="267"/>
        <v>7.8796154116084995</v>
      </c>
      <c r="C389" s="22">
        <f t="shared" si="268"/>
        <v>15.391051201856158</v>
      </c>
      <c r="D389" s="22">
        <f t="shared" si="268"/>
        <v>19.16990699300562</v>
      </c>
      <c r="E389" s="22">
        <f t="shared" si="268"/>
        <v>32.16824686022459</v>
      </c>
      <c r="F389" s="22">
        <f t="shared" si="268"/>
        <v>17.26285386714489</v>
      </c>
      <c r="G389" s="22">
        <f t="shared" si="268"/>
        <v>7.082453331656077</v>
      </c>
      <c r="H389" s="22">
        <f t="shared" si="268"/>
        <v>1.0458723345041414</v>
      </c>
      <c r="I389" s="6">
        <f aca="true" t="shared" si="269" ref="I389:I396">F389+G389+H389</f>
        <v>25.39117953330511</v>
      </c>
      <c r="J389" s="6">
        <f aca="true" t="shared" si="270" ref="J389:J396">G389+H389</f>
        <v>8.128325666160219</v>
      </c>
    </row>
    <row r="390" spans="1:10" ht="12.75">
      <c r="A390">
        <v>1837</v>
      </c>
      <c r="B390" s="22">
        <f t="shared" si="267"/>
        <v>8.00311648364203</v>
      </c>
      <c r="C390" s="22">
        <f t="shared" si="268"/>
        <v>19.083792154100543</v>
      </c>
      <c r="D390" s="22">
        <f t="shared" si="268"/>
        <v>26.753641892992817</v>
      </c>
      <c r="E390" s="22">
        <f t="shared" si="268"/>
        <v>18.690220336005066</v>
      </c>
      <c r="F390" s="22">
        <f t="shared" si="268"/>
        <v>16.843389364916014</v>
      </c>
      <c r="G390" s="22">
        <f t="shared" si="268"/>
        <v>8.39020411910032</v>
      </c>
      <c r="H390" s="22">
        <f t="shared" si="268"/>
        <v>2.2356356492432004</v>
      </c>
      <c r="I390" s="6">
        <f t="shared" si="269"/>
        <v>27.46922913325953</v>
      </c>
      <c r="J390" s="6">
        <f t="shared" si="270"/>
        <v>10.62583976834352</v>
      </c>
    </row>
    <row r="391" spans="1:10" ht="12.75">
      <c r="A391">
        <v>1847</v>
      </c>
      <c r="B391" s="22">
        <f t="shared" si="267"/>
        <v>8.755965224290678</v>
      </c>
      <c r="C391" s="22">
        <f t="shared" si="268"/>
        <v>14.99814001615922</v>
      </c>
      <c r="D391" s="22">
        <f t="shared" si="268"/>
        <v>20.4267272068113</v>
      </c>
      <c r="E391" s="22">
        <f t="shared" si="268"/>
        <v>24.175743269956353</v>
      </c>
      <c r="F391" s="22">
        <f t="shared" si="268"/>
        <v>19.102580222685337</v>
      </c>
      <c r="G391" s="22">
        <f t="shared" si="268"/>
        <v>9.798437378886302</v>
      </c>
      <c r="H391" s="22">
        <f t="shared" si="268"/>
        <v>2.7424066812108077</v>
      </c>
      <c r="I391" s="6">
        <f t="shared" si="269"/>
        <v>31.643424282782448</v>
      </c>
      <c r="J391" s="6">
        <f t="shared" si="270"/>
        <v>12.54084406009711</v>
      </c>
    </row>
    <row r="392" spans="1:10" ht="12.75">
      <c r="A392">
        <v>1857</v>
      </c>
      <c r="B392" s="22">
        <f t="shared" si="267"/>
        <v>9.730540175706174</v>
      </c>
      <c r="C392" s="22">
        <f t="shared" si="268"/>
        <v>13.517586038452656</v>
      </c>
      <c r="D392" s="22">
        <f t="shared" si="268"/>
        <v>18.524218370044565</v>
      </c>
      <c r="E392" s="22">
        <f t="shared" si="268"/>
        <v>27.041351743032997</v>
      </c>
      <c r="F392" s="22">
        <f t="shared" si="268"/>
        <v>20.26248461495508</v>
      </c>
      <c r="G392" s="22">
        <f t="shared" si="268"/>
        <v>7.814841744942401</v>
      </c>
      <c r="H392" s="22">
        <f t="shared" si="268"/>
        <v>3.1089773128661338</v>
      </c>
      <c r="I392" s="6">
        <f t="shared" si="269"/>
        <v>31.186303672763618</v>
      </c>
      <c r="J392" s="6">
        <f t="shared" si="270"/>
        <v>10.923819057808535</v>
      </c>
    </row>
    <row r="393" spans="1:10" ht="12.75">
      <c r="A393">
        <v>1867</v>
      </c>
      <c r="B393" s="22">
        <f t="shared" si="267"/>
        <v>9.70351232217124</v>
      </c>
      <c r="C393" s="22">
        <f aca="true" t="shared" si="271" ref="C393:H395">100*C357*C381/SUMPRODUCT($B357:$H357,$B381:$H381)</f>
        <v>10.143514257990176</v>
      </c>
      <c r="D393" s="22">
        <f t="shared" si="271"/>
        <v>18.933791660685024</v>
      </c>
      <c r="E393" s="22">
        <f t="shared" si="271"/>
        <v>20.815687887282593</v>
      </c>
      <c r="F393" s="22">
        <f t="shared" si="271"/>
        <v>26.17638859866969</v>
      </c>
      <c r="G393" s="22">
        <f t="shared" si="271"/>
        <v>11.068721712671403</v>
      </c>
      <c r="H393" s="22">
        <f t="shared" si="271"/>
        <v>3.158383560529873</v>
      </c>
      <c r="I393" s="6">
        <f>F393+G393+H393</f>
        <v>40.403493871870964</v>
      </c>
      <c r="J393" s="6">
        <f t="shared" si="270"/>
        <v>14.227105273201275</v>
      </c>
    </row>
    <row r="394" spans="1:10" ht="12.75">
      <c r="A394">
        <v>1877</v>
      </c>
      <c r="B394" s="22">
        <f t="shared" si="267"/>
        <v>8.446044972738973</v>
      </c>
      <c r="C394" s="22">
        <f t="shared" si="271"/>
        <v>15.07226474118685</v>
      </c>
      <c r="D394" s="22">
        <f t="shared" si="271"/>
        <v>15.779105176337652</v>
      </c>
      <c r="E394" s="22">
        <f t="shared" si="271"/>
        <v>20.000236164301256</v>
      </c>
      <c r="F394" s="22">
        <f t="shared" si="271"/>
        <v>22.760469756552684</v>
      </c>
      <c r="G394" s="22">
        <f t="shared" si="271"/>
        <v>12.579264927571053</v>
      </c>
      <c r="H394" s="22">
        <f t="shared" si="271"/>
        <v>5.36261426131154</v>
      </c>
      <c r="I394" s="6">
        <f t="shared" si="269"/>
        <v>40.70234894543528</v>
      </c>
      <c r="J394" s="6">
        <f t="shared" si="270"/>
        <v>17.941879188882595</v>
      </c>
    </row>
    <row r="395" spans="1:10" ht="12.75">
      <c r="A395">
        <v>1887</v>
      </c>
      <c r="B395" s="22">
        <f t="shared" si="267"/>
        <v>6.818391808747446</v>
      </c>
      <c r="C395" s="22">
        <f t="shared" si="271"/>
        <v>6.196954596619567</v>
      </c>
      <c r="D395" s="22">
        <f t="shared" si="271"/>
        <v>18.951692140737855</v>
      </c>
      <c r="E395" s="22">
        <f t="shared" si="271"/>
        <v>26.058845559647864</v>
      </c>
      <c r="F395" s="22">
        <f t="shared" si="271"/>
        <v>20.12595870673877</v>
      </c>
      <c r="G395" s="22">
        <f t="shared" si="271"/>
        <v>15.536505773392685</v>
      </c>
      <c r="H395" s="22">
        <f t="shared" si="271"/>
        <v>6.311651414115816</v>
      </c>
      <c r="I395" s="6">
        <f t="shared" si="269"/>
        <v>41.97411589424727</v>
      </c>
      <c r="J395" s="6">
        <f t="shared" si="270"/>
        <v>21.8481571875085</v>
      </c>
    </row>
    <row r="396" spans="1:10" ht="12.75">
      <c r="A396">
        <v>1902</v>
      </c>
      <c r="B396" s="22">
        <f t="shared" si="267"/>
        <v>9.293459726978014</v>
      </c>
      <c r="C396" s="22">
        <f aca="true" t="shared" si="272" ref="C396:H396">100*C360*C384/SUMPRODUCT($B360:$H360,$B384:$H384)</f>
        <v>13.091242597562628</v>
      </c>
      <c r="D396" s="22">
        <f t="shared" si="272"/>
        <v>16.31892130353569</v>
      </c>
      <c r="E396" s="22">
        <f t="shared" si="272"/>
        <v>21.806977783002946</v>
      </c>
      <c r="F396" s="22">
        <f t="shared" si="272"/>
        <v>22.080496257456495</v>
      </c>
      <c r="G396" s="22">
        <f t="shared" si="272"/>
        <v>14.170898558059243</v>
      </c>
      <c r="H396" s="22">
        <f t="shared" si="272"/>
        <v>3.238003773404973</v>
      </c>
      <c r="I396" s="6">
        <f t="shared" si="269"/>
        <v>39.48939858892071</v>
      </c>
      <c r="J396" s="6">
        <f t="shared" si="270"/>
        <v>17.408902331464216</v>
      </c>
    </row>
  </sheetData>
  <mergeCells count="13">
    <mergeCell ref="K232:O232"/>
    <mergeCell ref="K252:O252"/>
    <mergeCell ref="K214:O214"/>
    <mergeCell ref="K175:O175"/>
    <mergeCell ref="K15:O15"/>
    <mergeCell ref="K195:O195"/>
    <mergeCell ref="K115:O115"/>
    <mergeCell ref="K35:O35"/>
    <mergeCell ref="K55:O55"/>
    <mergeCell ref="K75:O75"/>
    <mergeCell ref="K95:O95"/>
    <mergeCell ref="K135:O135"/>
    <mergeCell ref="K155:O15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8"/>
  <sheetViews>
    <sheetView tabSelected="1" workbookViewId="0" topLeftCell="A1">
      <selection activeCell="A7" sqref="A7"/>
    </sheetView>
  </sheetViews>
  <sheetFormatPr defaultColWidth="11.421875" defaultRowHeight="12.75"/>
  <cols>
    <col min="3" max="7" width="11.57421875" style="0" bestFit="1" customWidth="1"/>
    <col min="8" max="8" width="11.7109375" style="0" bestFit="1" customWidth="1"/>
  </cols>
  <sheetData>
    <row r="1" spans="1:2" ht="12.75">
      <c r="A1" t="s">
        <v>418</v>
      </c>
      <c r="B1" s="1" t="s">
        <v>419</v>
      </c>
    </row>
    <row r="3" ht="12.75">
      <c r="A3" s="1" t="s">
        <v>522</v>
      </c>
    </row>
    <row r="4" ht="12.75">
      <c r="A4" s="1" t="s">
        <v>523</v>
      </c>
    </row>
    <row r="6" ht="12.75">
      <c r="A6" s="1" t="s">
        <v>504</v>
      </c>
    </row>
    <row r="7" ht="12.75">
      <c r="A7" s="1" t="s">
        <v>505</v>
      </c>
    </row>
    <row r="8" ht="12.75">
      <c r="A8" t="s">
        <v>506</v>
      </c>
    </row>
    <row r="9" ht="12.75">
      <c r="A9" t="s">
        <v>507</v>
      </c>
    </row>
    <row r="10" ht="12.75">
      <c r="A10" t="s">
        <v>508</v>
      </c>
    </row>
    <row r="11" ht="12.75">
      <c r="A11" t="s">
        <v>509</v>
      </c>
    </row>
    <row r="12" ht="12.75">
      <c r="A12" t="s">
        <v>516</v>
      </c>
    </row>
    <row r="13" ht="12.75">
      <c r="A13" t="s">
        <v>517</v>
      </c>
    </row>
    <row r="14" ht="12.75">
      <c r="A14" t="s">
        <v>518</v>
      </c>
    </row>
    <row r="15" ht="12.75">
      <c r="A15" t="s">
        <v>519</v>
      </c>
    </row>
    <row r="16" ht="12.75">
      <c r="A16" t="s">
        <v>520</v>
      </c>
    </row>
    <row r="17" ht="12.75">
      <c r="A17" s="1"/>
    </row>
    <row r="18" ht="12.75">
      <c r="A18" s="1" t="s">
        <v>510</v>
      </c>
    </row>
    <row r="20" ht="12.75">
      <c r="A20" s="9" t="s">
        <v>417</v>
      </c>
    </row>
    <row r="23" spans="2:20" ht="12.75">
      <c r="B23" s="21"/>
      <c r="C23" s="21"/>
      <c r="D23" s="21"/>
      <c r="E23" s="21"/>
      <c r="F23" s="21"/>
      <c r="K23" s="69" t="s">
        <v>411</v>
      </c>
      <c r="L23" s="69"/>
      <c r="M23" s="69"/>
      <c r="N23" s="69"/>
      <c r="O23" s="69"/>
      <c r="P23" s="69" t="s">
        <v>512</v>
      </c>
      <c r="Q23" s="69"/>
      <c r="R23" s="69"/>
      <c r="S23" s="69"/>
      <c r="T23" s="69"/>
    </row>
    <row r="24" spans="1:22" ht="12.75">
      <c r="A24" s="64">
        <v>1807</v>
      </c>
      <c r="B24" t="s">
        <v>383</v>
      </c>
      <c r="C24" t="s">
        <v>412</v>
      </c>
      <c r="D24" t="s">
        <v>420</v>
      </c>
      <c r="E24" t="s">
        <v>6</v>
      </c>
      <c r="F24" t="s">
        <v>398</v>
      </c>
      <c r="G24" t="s">
        <v>421</v>
      </c>
      <c r="H24" t="s">
        <v>424</v>
      </c>
      <c r="I24" t="s">
        <v>422</v>
      </c>
      <c r="J24" t="s">
        <v>423</v>
      </c>
      <c r="K24" t="s">
        <v>425</v>
      </c>
      <c r="L24" t="s">
        <v>426</v>
      </c>
      <c r="M24" t="s">
        <v>427</v>
      </c>
      <c r="N24" t="s">
        <v>428</v>
      </c>
      <c r="O24" t="s">
        <v>425</v>
      </c>
      <c r="P24" t="s">
        <v>514</v>
      </c>
      <c r="Q24" t="s">
        <v>406</v>
      </c>
      <c r="R24" t="s">
        <v>407</v>
      </c>
      <c r="S24" t="s">
        <v>404</v>
      </c>
      <c r="T24" t="s">
        <v>405</v>
      </c>
      <c r="U24" t="s">
        <v>513</v>
      </c>
      <c r="V24" t="s">
        <v>406</v>
      </c>
    </row>
    <row r="25" spans="1:22" ht="12.75">
      <c r="A25" t="s">
        <v>384</v>
      </c>
      <c r="B25" s="11">
        <f aca="true" t="shared" si="0" ref="B25:B37">B44*B$38/B$57</f>
        <v>1036.9517136905888</v>
      </c>
      <c r="C25" s="11">
        <f>C44*623000/713966</f>
        <v>64145.87809503534</v>
      </c>
      <c r="D25" s="11">
        <f aca="true" t="shared" si="1" ref="D25:D38">D44*623000/713966</f>
        <v>64145.87809503534</v>
      </c>
      <c r="E25" s="12">
        <f aca="true" t="shared" si="2" ref="E25:E38">100*D25/D$57</f>
        <v>12.895380502506939</v>
      </c>
      <c r="F25" s="22">
        <f aca="true" t="shared" si="3" ref="F25:F38">D25/B25</f>
        <v>61.86004347949371</v>
      </c>
      <c r="G25" s="13">
        <v>36</v>
      </c>
      <c r="H25" s="10">
        <f>G25*H$38/G$38</f>
        <v>58.82258064516129</v>
      </c>
      <c r="I25" s="11">
        <f aca="true" t="shared" si="4" ref="I25:I37">B25-H25</f>
        <v>978.1291330454275</v>
      </c>
      <c r="J25" s="22">
        <f aca="true" t="shared" si="5" ref="J25:J38">100*H25/B25</f>
        <v>5.672644142301219</v>
      </c>
      <c r="K25" s="22">
        <f aca="true" t="shared" si="6" ref="K25:K37">F25</f>
        <v>61.86004347949371</v>
      </c>
      <c r="L25" s="22">
        <f aca="true" t="shared" si="7" ref="L25:L37">F25</f>
        <v>61.86004347949371</v>
      </c>
      <c r="M25" s="11">
        <f aca="true" t="shared" si="8" ref="M25:M37">H25*K25</f>
        <v>3638.7673962857025</v>
      </c>
      <c r="N25" s="11">
        <f aca="true" t="shared" si="9" ref="N25:N37">I25*L25</f>
        <v>60507.11069874963</v>
      </c>
      <c r="O25" s="65">
        <f aca="true" t="shared" si="10" ref="O25:O38">K25*H25/G25</f>
        <v>101.0768721190473</v>
      </c>
      <c r="P25" s="66">
        <v>1.15</v>
      </c>
      <c r="Q25" s="22">
        <f>P25*K25</f>
        <v>71.13905000141776</v>
      </c>
      <c r="R25" s="22">
        <f aca="true" t="shared" si="11" ref="R25:R38">T25/I25</f>
        <v>61.30202400026254</v>
      </c>
      <c r="S25" s="11">
        <f aca="true" t="shared" si="12" ref="S25:S37">H25*Q25</f>
        <v>4184.582505728557</v>
      </c>
      <c r="T25" s="11">
        <f aca="true" t="shared" si="13" ref="T25:T37">D25-S25</f>
        <v>59961.295589306785</v>
      </c>
      <c r="U25" s="17">
        <f>R25/Q25</f>
        <v>0.8617211503251847</v>
      </c>
      <c r="V25" s="65">
        <f aca="true" t="shared" si="14" ref="V25:V38">Q25*H25/G25</f>
        <v>116.23840293690438</v>
      </c>
    </row>
    <row r="26" spans="1:22" ht="12.75">
      <c r="A26" t="s">
        <v>385</v>
      </c>
      <c r="B26" s="11">
        <f t="shared" si="0"/>
        <v>773.8154705548192</v>
      </c>
      <c r="C26" s="11">
        <f>C45*623000/713966</f>
        <v>60977.501729774245</v>
      </c>
      <c r="D26" s="11">
        <f t="shared" si="1"/>
        <v>60977.501729774245</v>
      </c>
      <c r="E26" s="12">
        <f t="shared" si="2"/>
        <v>12.258435152025347</v>
      </c>
      <c r="F26" s="22">
        <f t="shared" si="3"/>
        <v>78.8010889547787</v>
      </c>
      <c r="G26" s="13">
        <v>62</v>
      </c>
      <c r="H26" s="10">
        <f aca="true" t="shared" si="15" ref="H26:H37">G26*H$38/G$38</f>
        <v>101.30555555555556</v>
      </c>
      <c r="I26" s="11">
        <f t="shared" si="4"/>
        <v>672.5099149992636</v>
      </c>
      <c r="J26" s="22">
        <f t="shared" si="5"/>
        <v>13.091694261801246</v>
      </c>
      <c r="K26" s="22">
        <f t="shared" si="6"/>
        <v>78.8010889547787</v>
      </c>
      <c r="L26" s="22">
        <f t="shared" si="7"/>
        <v>78.8010889547787</v>
      </c>
      <c r="M26" s="11">
        <f t="shared" si="8"/>
        <v>7982.98809494661</v>
      </c>
      <c r="N26" s="11">
        <f t="shared" si="9"/>
        <v>52994.51363482764</v>
      </c>
      <c r="O26" s="65">
        <f t="shared" si="10"/>
        <v>128.75787249913887</v>
      </c>
      <c r="P26" s="66">
        <v>1.15</v>
      </c>
      <c r="Q26" s="22">
        <f aca="true" t="shared" si="16" ref="Q26:Q37">P26*K26</f>
        <v>90.62125229799551</v>
      </c>
      <c r="R26" s="22">
        <f t="shared" si="11"/>
        <v>77.0205230664032</v>
      </c>
      <c r="S26" s="11">
        <f t="shared" si="12"/>
        <v>9180.4363091886</v>
      </c>
      <c r="T26" s="11">
        <f t="shared" si="13"/>
        <v>51797.06542058564</v>
      </c>
      <c r="U26" s="17">
        <f aca="true" t="shared" si="17" ref="U26:U37">R26/Q26</f>
        <v>0.8499167812549292</v>
      </c>
      <c r="V26" s="65">
        <f t="shared" si="14"/>
        <v>148.07155337400968</v>
      </c>
    </row>
    <row r="27" spans="1:22" ht="12.75">
      <c r="A27" t="s">
        <v>386</v>
      </c>
      <c r="B27" s="11">
        <f t="shared" si="0"/>
        <v>761.1459477371711</v>
      </c>
      <c r="C27" s="11">
        <f>C46*623000/713966</f>
        <v>101792.05312297784</v>
      </c>
      <c r="D27" s="11">
        <f t="shared" si="1"/>
        <v>52698.24212229958</v>
      </c>
      <c r="E27" s="12">
        <f t="shared" si="2"/>
        <v>10.594038216664272</v>
      </c>
      <c r="F27" s="22">
        <f t="shared" si="3"/>
        <v>69.23539733603974</v>
      </c>
      <c r="G27" s="13">
        <v>100</v>
      </c>
      <c r="H27" s="10">
        <f t="shared" si="15"/>
        <v>163.39605734767025</v>
      </c>
      <c r="I27" s="11">
        <f t="shared" si="4"/>
        <v>597.7498903895009</v>
      </c>
      <c r="J27" s="22">
        <f t="shared" si="5"/>
        <v>21.467112560138336</v>
      </c>
      <c r="K27" s="22">
        <f t="shared" si="6"/>
        <v>69.23539733603974</v>
      </c>
      <c r="L27" s="22">
        <f t="shared" si="7"/>
        <v>69.23539733603974</v>
      </c>
      <c r="M27" s="11">
        <f t="shared" si="8"/>
        <v>11312.790953608286</v>
      </c>
      <c r="N27" s="11">
        <f t="shared" si="9"/>
        <v>41385.451168691296</v>
      </c>
      <c r="O27" s="65">
        <f t="shared" si="10"/>
        <v>113.12790953608287</v>
      </c>
      <c r="P27" s="66">
        <v>1.2</v>
      </c>
      <c r="Q27" s="22">
        <f t="shared" si="16"/>
        <v>83.08247680324769</v>
      </c>
      <c r="R27" s="22">
        <f t="shared" si="11"/>
        <v>65.45027210707927</v>
      </c>
      <c r="S27" s="11">
        <f t="shared" si="12"/>
        <v>13575.349144329943</v>
      </c>
      <c r="T27" s="11">
        <f t="shared" si="13"/>
        <v>39122.89297796964</v>
      </c>
      <c r="U27" s="17">
        <f t="shared" si="17"/>
        <v>0.7877746863767165</v>
      </c>
      <c r="V27" s="65">
        <f t="shared" si="14"/>
        <v>135.75349144329942</v>
      </c>
    </row>
    <row r="28" spans="1:22" ht="12.75">
      <c r="A28" t="s">
        <v>387</v>
      </c>
      <c r="B28" s="11">
        <f t="shared" si="0"/>
        <v>657.8406078394244</v>
      </c>
      <c r="C28" s="11"/>
      <c r="D28" s="11">
        <f t="shared" si="1"/>
        <v>49093.81100067826</v>
      </c>
      <c r="E28" s="12">
        <f t="shared" si="2"/>
        <v>9.869431863321946</v>
      </c>
      <c r="F28" s="22">
        <f t="shared" si="3"/>
        <v>74.62873288093188</v>
      </c>
      <c r="G28" s="13">
        <v>134</v>
      </c>
      <c r="H28" s="10">
        <f t="shared" si="15"/>
        <v>218.95071684587813</v>
      </c>
      <c r="I28" s="11">
        <f t="shared" si="4"/>
        <v>438.88989099354626</v>
      </c>
      <c r="J28" s="22">
        <f t="shared" si="5"/>
        <v>33.28324737583286</v>
      </c>
      <c r="K28" s="22">
        <f t="shared" si="6"/>
        <v>74.62873288093188</v>
      </c>
      <c r="L28" s="22">
        <f t="shared" si="7"/>
        <v>74.62873288093188</v>
      </c>
      <c r="M28" s="11">
        <f t="shared" si="8"/>
        <v>16340.01456157959</v>
      </c>
      <c r="N28" s="11">
        <f t="shared" si="9"/>
        <v>32753.796439098674</v>
      </c>
      <c r="O28" s="65">
        <f t="shared" si="10"/>
        <v>121.9404071759671</v>
      </c>
      <c r="P28" s="66">
        <v>1.25</v>
      </c>
      <c r="Q28" s="22">
        <f t="shared" si="16"/>
        <v>93.28591610116484</v>
      </c>
      <c r="R28" s="22">
        <f t="shared" si="11"/>
        <v>65.32115090143495</v>
      </c>
      <c r="S28" s="11">
        <f t="shared" si="12"/>
        <v>20425.018201974486</v>
      </c>
      <c r="T28" s="11">
        <f t="shared" si="13"/>
        <v>28668.792798703773</v>
      </c>
      <c r="U28" s="17">
        <f t="shared" si="17"/>
        <v>0.700225217605161</v>
      </c>
      <c r="V28" s="65">
        <f t="shared" si="14"/>
        <v>152.42550896995886</v>
      </c>
    </row>
    <row r="29" spans="1:22" ht="12.75">
      <c r="A29" t="s">
        <v>388</v>
      </c>
      <c r="B29" s="11">
        <f t="shared" si="0"/>
        <v>730.9340087104715</v>
      </c>
      <c r="C29" s="11">
        <f>C48*623000/713966</f>
        <v>78989.51630749923</v>
      </c>
      <c r="D29" s="11">
        <f t="shared" si="1"/>
        <v>44056.12516193096</v>
      </c>
      <c r="E29" s="12">
        <f t="shared" si="2"/>
        <v>8.856695306087648</v>
      </c>
      <c r="F29" s="22">
        <f t="shared" si="3"/>
        <v>60.273738308682155</v>
      </c>
      <c r="G29" s="13">
        <v>147</v>
      </c>
      <c r="H29" s="10">
        <f t="shared" si="15"/>
        <v>240.19220430107526</v>
      </c>
      <c r="I29" s="11">
        <f t="shared" si="4"/>
        <v>490.74180440939625</v>
      </c>
      <c r="J29" s="22">
        <f t="shared" si="5"/>
        <v>32.860997222557366</v>
      </c>
      <c r="K29" s="22">
        <f t="shared" si="6"/>
        <v>60.273738308682155</v>
      </c>
      <c r="L29" s="22">
        <f t="shared" si="7"/>
        <v>60.273738308682155</v>
      </c>
      <c r="M29" s="11">
        <f t="shared" si="8"/>
        <v>14477.28206582853</v>
      </c>
      <c r="N29" s="11">
        <f t="shared" si="9"/>
        <v>29578.84309610243</v>
      </c>
      <c r="O29" s="65">
        <f t="shared" si="10"/>
        <v>98.48491201243898</v>
      </c>
      <c r="P29" s="66">
        <v>1.25</v>
      </c>
      <c r="Q29" s="22">
        <f t="shared" si="16"/>
        <v>75.34217288585269</v>
      </c>
      <c r="R29" s="22">
        <f t="shared" si="11"/>
        <v>52.89853512864544</v>
      </c>
      <c r="S29" s="11">
        <f t="shared" si="12"/>
        <v>18096.602582285665</v>
      </c>
      <c r="T29" s="11">
        <f t="shared" si="13"/>
        <v>25959.522579645298</v>
      </c>
      <c r="U29" s="17">
        <f t="shared" si="17"/>
        <v>0.7021105590993436</v>
      </c>
      <c r="V29" s="65">
        <f t="shared" si="14"/>
        <v>123.10614001554873</v>
      </c>
    </row>
    <row r="30" spans="1:22" ht="12.75">
      <c r="A30" t="s">
        <v>389</v>
      </c>
      <c r="B30" s="11">
        <f t="shared" si="0"/>
        <v>795.256201476993</v>
      </c>
      <c r="C30" s="11"/>
      <c r="D30" s="11">
        <f t="shared" si="1"/>
        <v>34933.391145568276</v>
      </c>
      <c r="E30" s="12">
        <f t="shared" si="2"/>
        <v>7.022732940027757</v>
      </c>
      <c r="F30" s="22">
        <f t="shared" si="3"/>
        <v>43.927216261486656</v>
      </c>
      <c r="G30" s="13">
        <v>194</v>
      </c>
      <c r="H30" s="10">
        <f t="shared" si="15"/>
        <v>316.9883512544803</v>
      </c>
      <c r="I30" s="11">
        <f t="shared" si="4"/>
        <v>478.2678502225128</v>
      </c>
      <c r="J30" s="22">
        <f t="shared" si="5"/>
        <v>39.859903093588244</v>
      </c>
      <c r="K30" s="22">
        <f t="shared" si="6"/>
        <v>43.927216261486656</v>
      </c>
      <c r="L30" s="22">
        <f t="shared" si="7"/>
        <v>43.927216261486656</v>
      </c>
      <c r="M30" s="11">
        <f t="shared" si="8"/>
        <v>13924.41585792765</v>
      </c>
      <c r="N30" s="11">
        <f t="shared" si="9"/>
        <v>21008.975287640627</v>
      </c>
      <c r="O30" s="65">
        <f t="shared" si="10"/>
        <v>71.77533947385386</v>
      </c>
      <c r="P30" s="66">
        <v>1.25</v>
      </c>
      <c r="Q30" s="22">
        <f t="shared" si="16"/>
        <v>54.90902032685832</v>
      </c>
      <c r="R30" s="22">
        <f t="shared" si="11"/>
        <v>36.64865057311279</v>
      </c>
      <c r="S30" s="11">
        <f t="shared" si="12"/>
        <v>17405.519822409562</v>
      </c>
      <c r="T30" s="11">
        <f t="shared" si="13"/>
        <v>17527.871323158713</v>
      </c>
      <c r="U30" s="17">
        <f t="shared" si="17"/>
        <v>0.6674431697188082</v>
      </c>
      <c r="V30" s="65">
        <f t="shared" si="14"/>
        <v>89.71917434231733</v>
      </c>
    </row>
    <row r="31" spans="1:22" ht="12.75">
      <c r="A31" t="s">
        <v>390</v>
      </c>
      <c r="B31" s="11">
        <f t="shared" si="0"/>
        <v>918.0531149403523</v>
      </c>
      <c r="C31" s="11">
        <f>C50*623000/713966</f>
        <v>63982.70365815739</v>
      </c>
      <c r="D31" s="11">
        <f t="shared" si="1"/>
        <v>33267.22706764727</v>
      </c>
      <c r="E31" s="12">
        <f t="shared" si="2"/>
        <v>6.687780478506104</v>
      </c>
      <c r="F31" s="22">
        <f t="shared" si="3"/>
        <v>36.23671280698035</v>
      </c>
      <c r="G31" s="13">
        <v>218</v>
      </c>
      <c r="H31" s="10">
        <f t="shared" si="15"/>
        <v>356.20340501792117</v>
      </c>
      <c r="I31" s="11">
        <f t="shared" si="4"/>
        <v>561.8497099224312</v>
      </c>
      <c r="J31" s="22">
        <f t="shared" si="5"/>
        <v>38.799868898768935</v>
      </c>
      <c r="K31" s="22">
        <f t="shared" si="6"/>
        <v>36.23671280698035</v>
      </c>
      <c r="L31" s="22">
        <f t="shared" si="7"/>
        <v>36.23671280698035</v>
      </c>
      <c r="M31" s="11">
        <f t="shared" si="8"/>
        <v>12907.640488502913</v>
      </c>
      <c r="N31" s="11">
        <f t="shared" si="9"/>
        <v>20359.586579144358</v>
      </c>
      <c r="O31" s="65">
        <f t="shared" si="10"/>
        <v>59.20936003900419</v>
      </c>
      <c r="P31" s="66">
        <v>1.25</v>
      </c>
      <c r="Q31" s="22">
        <f t="shared" si="16"/>
        <v>45.295891008725434</v>
      </c>
      <c r="R31" s="22">
        <f t="shared" si="11"/>
        <v>30.49334395737956</v>
      </c>
      <c r="S31" s="11">
        <f t="shared" si="12"/>
        <v>16134.55061062864</v>
      </c>
      <c r="T31" s="11">
        <f t="shared" si="13"/>
        <v>17132.676457018628</v>
      </c>
      <c r="U31" s="17">
        <f t="shared" si="17"/>
        <v>0.6732033144354214</v>
      </c>
      <c r="V31" s="65">
        <f t="shared" si="14"/>
        <v>74.01170004875523</v>
      </c>
    </row>
    <row r="32" spans="1:22" ht="12.75">
      <c r="A32" t="s">
        <v>391</v>
      </c>
      <c r="B32" s="11">
        <f t="shared" si="0"/>
        <v>868.3496023480402</v>
      </c>
      <c r="C32" s="11"/>
      <c r="D32" s="11">
        <f t="shared" si="1"/>
        <v>30715.476590510123</v>
      </c>
      <c r="E32" s="12">
        <f t="shared" si="2"/>
        <v>6.1747967244855335</v>
      </c>
      <c r="F32" s="22">
        <f t="shared" si="3"/>
        <v>35.37224696994697</v>
      </c>
      <c r="G32" s="13">
        <v>247</v>
      </c>
      <c r="H32" s="10">
        <f t="shared" si="15"/>
        <v>403.5882616487455</v>
      </c>
      <c r="I32" s="11">
        <f t="shared" si="4"/>
        <v>464.7613406992947</v>
      </c>
      <c r="J32" s="22">
        <f t="shared" si="5"/>
        <v>46.47762382310445</v>
      </c>
      <c r="K32" s="22">
        <f t="shared" si="6"/>
        <v>35.37224696994697</v>
      </c>
      <c r="L32" s="22">
        <f t="shared" si="7"/>
        <v>35.37224696994697</v>
      </c>
      <c r="M32" s="11">
        <f t="shared" si="8"/>
        <v>14275.823665211004</v>
      </c>
      <c r="N32" s="11">
        <f t="shared" si="9"/>
        <v>16439.65292529912</v>
      </c>
      <c r="O32" s="65">
        <f t="shared" si="10"/>
        <v>57.79685694417411</v>
      </c>
      <c r="P32" s="66">
        <v>1.2</v>
      </c>
      <c r="Q32" s="22">
        <f t="shared" si="16"/>
        <v>42.44669636393636</v>
      </c>
      <c r="R32" s="22">
        <f t="shared" si="11"/>
        <v>29.228954740119445</v>
      </c>
      <c r="S32" s="11">
        <f t="shared" si="12"/>
        <v>17130.988398253205</v>
      </c>
      <c r="T32" s="11">
        <f t="shared" si="13"/>
        <v>13584.488192256918</v>
      </c>
      <c r="U32" s="17">
        <f t="shared" si="17"/>
        <v>0.6886037605732964</v>
      </c>
      <c r="V32" s="65">
        <f t="shared" si="14"/>
        <v>69.35622833300893</v>
      </c>
    </row>
    <row r="33" spans="1:22" ht="12.75">
      <c r="A33" t="s">
        <v>392</v>
      </c>
      <c r="B33" s="11">
        <f t="shared" si="0"/>
        <v>1129.5366881272487</v>
      </c>
      <c r="C33" s="11">
        <f>C52*623000/713966</f>
        <v>43475.952636400056</v>
      </c>
      <c r="D33" s="11">
        <f t="shared" si="1"/>
        <v>25791.020210018396</v>
      </c>
      <c r="E33" s="12">
        <f t="shared" si="2"/>
        <v>5.184822922889795</v>
      </c>
      <c r="F33" s="22">
        <f t="shared" si="3"/>
        <v>22.83327357235243</v>
      </c>
      <c r="G33" s="13">
        <v>231</v>
      </c>
      <c r="H33" s="10">
        <f t="shared" si="15"/>
        <v>377.4448924731183</v>
      </c>
      <c r="I33" s="11">
        <f t="shared" si="4"/>
        <v>752.0917956541305</v>
      </c>
      <c r="J33" s="22">
        <f t="shared" si="5"/>
        <v>33.41590374535909</v>
      </c>
      <c r="K33" s="22">
        <f t="shared" si="6"/>
        <v>22.83327357235243</v>
      </c>
      <c r="L33" s="22">
        <f t="shared" si="7"/>
        <v>22.83327357235243</v>
      </c>
      <c r="M33" s="11">
        <f t="shared" si="8"/>
        <v>8618.302488325855</v>
      </c>
      <c r="N33" s="11">
        <f t="shared" si="9"/>
        <v>17172.71772169254</v>
      </c>
      <c r="O33" s="65">
        <f t="shared" si="10"/>
        <v>37.30866878063141</v>
      </c>
      <c r="P33" s="66">
        <v>1.15</v>
      </c>
      <c r="Q33" s="22">
        <f t="shared" si="16"/>
        <v>26.25826460820529</v>
      </c>
      <c r="R33" s="22">
        <f t="shared" si="11"/>
        <v>21.114407097915603</v>
      </c>
      <c r="S33" s="11">
        <f t="shared" si="12"/>
        <v>9911.047861574732</v>
      </c>
      <c r="T33" s="11">
        <f t="shared" si="13"/>
        <v>15879.972348443664</v>
      </c>
      <c r="U33" s="17">
        <f t="shared" si="17"/>
        <v>0.804105199370932</v>
      </c>
      <c r="V33" s="65">
        <f t="shared" si="14"/>
        <v>42.904969097726116</v>
      </c>
    </row>
    <row r="34" spans="1:22" ht="12.75">
      <c r="A34" t="s">
        <v>393</v>
      </c>
      <c r="B34" s="11">
        <f t="shared" si="0"/>
        <v>1085.6806476046204</v>
      </c>
      <c r="C34" s="11"/>
      <c r="D34" s="11">
        <f t="shared" si="1"/>
        <v>17684.932426381652</v>
      </c>
      <c r="E34" s="12">
        <f t="shared" si="2"/>
        <v>3.555239082727051</v>
      </c>
      <c r="F34" s="22">
        <f t="shared" si="3"/>
        <v>16.28925823205987</v>
      </c>
      <c r="G34" s="13">
        <v>192</v>
      </c>
      <c r="H34" s="10">
        <f t="shared" si="15"/>
        <v>313.7204301075269</v>
      </c>
      <c r="I34" s="11">
        <f t="shared" si="4"/>
        <v>771.9602174970935</v>
      </c>
      <c r="J34" s="22">
        <f t="shared" si="5"/>
        <v>28.896198048634336</v>
      </c>
      <c r="K34" s="22">
        <f t="shared" si="6"/>
        <v>16.28925823205987</v>
      </c>
      <c r="L34" s="22">
        <f t="shared" si="7"/>
        <v>16.28925823205987</v>
      </c>
      <c r="M34" s="11">
        <f t="shared" si="8"/>
        <v>5110.273098694395</v>
      </c>
      <c r="N34" s="11">
        <f t="shared" si="9"/>
        <v>12574.659327687257</v>
      </c>
      <c r="O34" s="65">
        <f t="shared" si="10"/>
        <v>26.61600572236664</v>
      </c>
      <c r="P34" s="66">
        <v>1.1</v>
      </c>
      <c r="Q34" s="22">
        <f t="shared" si="16"/>
        <v>17.918184055265858</v>
      </c>
      <c r="R34" s="22">
        <f t="shared" si="11"/>
        <v>15.627271644815348</v>
      </c>
      <c r="S34" s="11">
        <f t="shared" si="12"/>
        <v>5621.300408563836</v>
      </c>
      <c r="T34" s="11">
        <f t="shared" si="13"/>
        <v>12063.632017817818</v>
      </c>
      <c r="U34" s="17">
        <f t="shared" si="17"/>
        <v>0.8721459494229691</v>
      </c>
      <c r="V34" s="65">
        <f t="shared" si="14"/>
        <v>29.277606294603313</v>
      </c>
    </row>
    <row r="35" spans="1:22" ht="12.75">
      <c r="A35" t="s">
        <v>394</v>
      </c>
      <c r="B35" s="11">
        <f t="shared" si="0"/>
        <v>1021.358454838099</v>
      </c>
      <c r="C35" s="11">
        <f>C54*623000/713966</f>
        <v>17000.682105310338</v>
      </c>
      <c r="D35" s="11">
        <f t="shared" si="1"/>
        <v>11247.539839860912</v>
      </c>
      <c r="E35" s="12">
        <f t="shared" si="2"/>
        <v>2.2611165402900317</v>
      </c>
      <c r="F35" s="22">
        <f t="shared" si="3"/>
        <v>11.012333413976409</v>
      </c>
      <c r="G35" s="13">
        <v>289</v>
      </c>
      <c r="H35" s="10">
        <f t="shared" si="15"/>
        <v>472.214605734767</v>
      </c>
      <c r="I35" s="11">
        <f t="shared" si="4"/>
        <v>549.143849103332</v>
      </c>
      <c r="J35" s="22">
        <f t="shared" si="5"/>
        <v>46.23397432095672</v>
      </c>
      <c r="K35" s="22">
        <f t="shared" si="6"/>
        <v>11.012333413976409</v>
      </c>
      <c r="L35" s="22">
        <f t="shared" si="7"/>
        <v>11.012333413976409</v>
      </c>
      <c r="M35" s="11">
        <f t="shared" si="8"/>
        <v>5200.1846813006705</v>
      </c>
      <c r="N35" s="11">
        <f t="shared" si="9"/>
        <v>6047.355158560241</v>
      </c>
      <c r="O35" s="65">
        <f t="shared" si="10"/>
        <v>17.993718620417546</v>
      </c>
      <c r="P35" s="66">
        <v>1.05</v>
      </c>
      <c r="Q35" s="22">
        <f t="shared" si="16"/>
        <v>11.56295008467523</v>
      </c>
      <c r="R35" s="22">
        <f t="shared" si="11"/>
        <v>10.538852313369366</v>
      </c>
      <c r="S35" s="11">
        <f t="shared" si="12"/>
        <v>5460.193915365704</v>
      </c>
      <c r="T35" s="11">
        <f t="shared" si="13"/>
        <v>5787.345924495208</v>
      </c>
      <c r="U35" s="17">
        <f t="shared" si="17"/>
        <v>0.9114328295282417</v>
      </c>
      <c r="V35" s="65">
        <f t="shared" si="14"/>
        <v>18.893404551438422</v>
      </c>
    </row>
    <row r="36" spans="1:22" ht="12.75">
      <c r="A36" t="s">
        <v>395</v>
      </c>
      <c r="B36" s="11">
        <f t="shared" si="0"/>
        <v>819.6206684340087</v>
      </c>
      <c r="C36" s="11"/>
      <c r="D36" s="11">
        <f t="shared" si="1"/>
        <v>5753.142265449424</v>
      </c>
      <c r="E36" s="12">
        <f t="shared" si="2"/>
        <v>1.1565662642907535</v>
      </c>
      <c r="F36" s="22">
        <f t="shared" si="3"/>
        <v>7.01927426554719</v>
      </c>
      <c r="G36" s="13">
        <v>195</v>
      </c>
      <c r="H36" s="10">
        <f t="shared" si="15"/>
        <v>318.622311827957</v>
      </c>
      <c r="I36" s="11">
        <f t="shared" si="4"/>
        <v>500.99835660605174</v>
      </c>
      <c r="J36" s="22">
        <f t="shared" si="5"/>
        <v>38.874362750847425</v>
      </c>
      <c r="K36" s="22">
        <f t="shared" si="6"/>
        <v>7.01927426554719</v>
      </c>
      <c r="L36" s="22">
        <f t="shared" si="7"/>
        <v>7.01927426554719</v>
      </c>
      <c r="M36" s="11">
        <f t="shared" si="8"/>
        <v>2236.4973938431303</v>
      </c>
      <c r="N36" s="11">
        <f t="shared" si="9"/>
        <v>3516.644871606293</v>
      </c>
      <c r="O36" s="65">
        <f t="shared" si="10"/>
        <v>11.469217404323745</v>
      </c>
      <c r="P36" s="66">
        <v>1</v>
      </c>
      <c r="Q36" s="22">
        <f t="shared" si="16"/>
        <v>7.01927426554719</v>
      </c>
      <c r="R36" s="22">
        <f t="shared" si="11"/>
        <v>7.019274265547191</v>
      </c>
      <c r="S36" s="11">
        <f t="shared" si="12"/>
        <v>2236.4973938431303</v>
      </c>
      <c r="T36" s="11">
        <f t="shared" si="13"/>
        <v>3516.6448716062932</v>
      </c>
      <c r="U36" s="17">
        <f t="shared" si="17"/>
        <v>1.0000000000000002</v>
      </c>
      <c r="V36" s="65">
        <f t="shared" si="14"/>
        <v>11.469217404323745</v>
      </c>
    </row>
    <row r="37" spans="1:22" ht="12.75">
      <c r="A37" t="s">
        <v>396</v>
      </c>
      <c r="B37" s="11">
        <f t="shared" si="0"/>
        <v>758.2222117023292</v>
      </c>
      <c r="C37" s="11">
        <f>C56*623000/713966</f>
        <v>3691.0581176134438</v>
      </c>
      <c r="D37" s="11">
        <f t="shared" si="1"/>
        <v>3691.0581176134438</v>
      </c>
      <c r="E37" s="12">
        <f t="shared" si="2"/>
        <v>0.7420211601589448</v>
      </c>
      <c r="F37" s="22">
        <f t="shared" si="3"/>
        <v>4.868042719727812</v>
      </c>
      <c r="G37" s="13">
        <v>187</v>
      </c>
      <c r="H37" s="10">
        <f t="shared" si="15"/>
        <v>305.55062724014334</v>
      </c>
      <c r="I37" s="11">
        <f t="shared" si="4"/>
        <v>452.6715844621859</v>
      </c>
      <c r="J37" s="22">
        <f t="shared" si="5"/>
        <v>40.29829547648488</v>
      </c>
      <c r="K37" s="22">
        <f t="shared" si="6"/>
        <v>4.868042719727812</v>
      </c>
      <c r="L37" s="22">
        <f t="shared" si="7"/>
        <v>4.868042719727812</v>
      </c>
      <c r="M37" s="11">
        <f t="shared" si="8"/>
        <v>1487.4335064446464</v>
      </c>
      <c r="N37" s="11">
        <f t="shared" si="9"/>
        <v>2203.6246111687974</v>
      </c>
      <c r="O37" s="65">
        <f t="shared" si="10"/>
        <v>7.954189874035542</v>
      </c>
      <c r="P37" s="66">
        <v>1</v>
      </c>
      <c r="Q37" s="22">
        <f t="shared" si="16"/>
        <v>4.868042719727812</v>
      </c>
      <c r="R37" s="22">
        <f t="shared" si="11"/>
        <v>4.868042719727812</v>
      </c>
      <c r="S37" s="11">
        <f t="shared" si="12"/>
        <v>1487.4335064446464</v>
      </c>
      <c r="T37" s="11">
        <f t="shared" si="13"/>
        <v>2203.6246111687974</v>
      </c>
      <c r="U37" s="17">
        <f t="shared" si="17"/>
        <v>1</v>
      </c>
      <c r="V37" s="65">
        <f t="shared" si="14"/>
        <v>7.954189874035542</v>
      </c>
    </row>
    <row r="38" spans="1:22" ht="12.75">
      <c r="A38" t="s">
        <v>18</v>
      </c>
      <c r="B38" s="11">
        <f>B57*20587/21124</f>
        <v>11356.765338004167</v>
      </c>
      <c r="C38" s="11">
        <f>C57*623000/713966</f>
        <v>434055.3457727679</v>
      </c>
      <c r="D38" s="11">
        <f t="shared" si="1"/>
        <v>434055.3457727679</v>
      </c>
      <c r="E38" s="12">
        <f t="shared" si="2"/>
        <v>87.25905715398213</v>
      </c>
      <c r="F38" s="22">
        <f t="shared" si="3"/>
        <v>38.21998014877083</v>
      </c>
      <c r="G38" s="11">
        <f>SUM(G25:G37)</f>
        <v>2232</v>
      </c>
      <c r="H38" s="11">
        <v>3647</v>
      </c>
      <c r="I38" s="11">
        <f>SUM(I25:I37)</f>
        <v>7709.765338004167</v>
      </c>
      <c r="J38" s="22">
        <f t="shared" si="5"/>
        <v>32.11301714402529</v>
      </c>
      <c r="K38" s="22">
        <f>M38/H38</f>
        <v>32.221665547710174</v>
      </c>
      <c r="L38" s="65">
        <f>N38/I38</f>
        <v>41.0574015735494</v>
      </c>
      <c r="M38" s="11">
        <f>SUM(M25:M37)</f>
        <v>117512.41425249902</v>
      </c>
      <c r="N38" s="11">
        <f>SUM(N25:N37)</f>
        <v>316542.9315202689</v>
      </c>
      <c r="O38" s="65">
        <f t="shared" si="10"/>
        <v>52.648931116711026</v>
      </c>
      <c r="P38" s="65"/>
      <c r="Q38" s="22">
        <f>S38/H38</f>
        <v>38.62065277230346</v>
      </c>
      <c r="R38" s="65">
        <f t="shared" si="11"/>
        <v>38.030447394664755</v>
      </c>
      <c r="S38" s="11">
        <f>SUM(S25:S37)</f>
        <v>140849.5206605907</v>
      </c>
      <c r="T38" s="11">
        <f>SUM(T25:T37)</f>
        <v>293205.8251121772</v>
      </c>
      <c r="U38" s="11"/>
      <c r="V38" s="65">
        <f t="shared" si="14"/>
        <v>63.10462395187756</v>
      </c>
    </row>
    <row r="39" spans="1:24" ht="12.75">
      <c r="A39" t="s">
        <v>521</v>
      </c>
      <c r="B39" s="11"/>
      <c r="C39" s="11"/>
      <c r="D39" s="11"/>
      <c r="E39" s="12"/>
      <c r="F39" s="22"/>
      <c r="G39" s="11"/>
      <c r="H39" s="11"/>
      <c r="I39" s="11"/>
      <c r="J39" s="22"/>
      <c r="K39" s="22"/>
      <c r="L39" s="65"/>
      <c r="M39" s="11"/>
      <c r="N39" s="11"/>
      <c r="O39" s="65"/>
      <c r="Q39" s="6"/>
      <c r="R39" s="6"/>
      <c r="S39" s="6"/>
      <c r="T39" s="6"/>
      <c r="U39" s="6"/>
      <c r="V39" s="6"/>
      <c r="W39" s="6"/>
      <c r="X39" s="6"/>
    </row>
    <row r="42" spans="2:20" ht="12.75">
      <c r="B42" s="21"/>
      <c r="C42" s="21"/>
      <c r="D42" s="21"/>
      <c r="E42" s="21"/>
      <c r="F42" s="21"/>
      <c r="K42" s="69" t="s">
        <v>411</v>
      </c>
      <c r="L42" s="69"/>
      <c r="M42" s="69"/>
      <c r="N42" s="69"/>
      <c r="O42" s="69"/>
      <c r="P42" s="69" t="s">
        <v>512</v>
      </c>
      <c r="Q42" s="69"/>
      <c r="R42" s="69"/>
      <c r="S42" s="69"/>
      <c r="T42" s="69"/>
    </row>
    <row r="43" spans="1:22" ht="12.75">
      <c r="A43" s="64">
        <v>1817</v>
      </c>
      <c r="B43" t="s">
        <v>383</v>
      </c>
      <c r="C43" t="s">
        <v>412</v>
      </c>
      <c r="D43" t="s">
        <v>420</v>
      </c>
      <c r="E43" t="s">
        <v>6</v>
      </c>
      <c r="F43" t="s">
        <v>398</v>
      </c>
      <c r="G43" t="s">
        <v>421</v>
      </c>
      <c r="H43" t="s">
        <v>424</v>
      </c>
      <c r="I43" t="s">
        <v>422</v>
      </c>
      <c r="J43" t="s">
        <v>423</v>
      </c>
      <c r="K43" t="s">
        <v>425</v>
      </c>
      <c r="L43" t="s">
        <v>426</v>
      </c>
      <c r="M43" t="s">
        <v>427</v>
      </c>
      <c r="N43" t="s">
        <v>428</v>
      </c>
      <c r="O43" t="s">
        <v>425</v>
      </c>
      <c r="P43" t="s">
        <v>514</v>
      </c>
      <c r="Q43" t="s">
        <v>406</v>
      </c>
      <c r="R43" t="s">
        <v>407</v>
      </c>
      <c r="S43" t="s">
        <v>404</v>
      </c>
      <c r="T43" t="s">
        <v>405</v>
      </c>
      <c r="U43" t="s">
        <v>513</v>
      </c>
      <c r="V43" t="s">
        <v>406</v>
      </c>
    </row>
    <row r="44" spans="1:22" ht="12.75">
      <c r="A44" t="s">
        <v>384</v>
      </c>
      <c r="B44" s="11">
        <v>1064</v>
      </c>
      <c r="C44" s="11">
        <v>73512</v>
      </c>
      <c r="D44" s="11">
        <f>C44</f>
        <v>73512</v>
      </c>
      <c r="E44" s="12">
        <f aca="true" t="shared" si="18" ref="E44:E57">100*D44/D$57</f>
        <v>14.778271646633819</v>
      </c>
      <c r="F44" s="22">
        <f aca="true" t="shared" si="19" ref="F44:F57">D44/B44</f>
        <v>69.09022556390977</v>
      </c>
      <c r="G44" s="13">
        <v>81</v>
      </c>
      <c r="H44" s="10">
        <f>G44*H$57/G$57</f>
        <v>106.07450199203187</v>
      </c>
      <c r="I44" s="11">
        <f aca="true" t="shared" si="20" ref="I44:I56">B44-H44</f>
        <v>957.9254980079681</v>
      </c>
      <c r="J44" s="22">
        <f aca="true" t="shared" si="21" ref="J44:J57">100*H44/B44</f>
        <v>9.969408081957884</v>
      </c>
      <c r="K44" s="22">
        <f aca="true" t="shared" si="22" ref="K44:K56">F44</f>
        <v>69.09022556390977</v>
      </c>
      <c r="L44" s="22">
        <f aca="true" t="shared" si="23" ref="L44:L56">F44</f>
        <v>69.09022556390977</v>
      </c>
      <c r="M44" s="11">
        <f aca="true" t="shared" si="24" ref="M44:M56">H44*K44</f>
        <v>7328.711269208878</v>
      </c>
      <c r="N44" s="11">
        <f aca="true" t="shared" si="25" ref="N44:N56">I44*L44</f>
        <v>66183.28873079112</v>
      </c>
      <c r="O44" s="65">
        <f aca="true" t="shared" si="26" ref="O44:O57">K44*H44/G44</f>
        <v>90.47791690381331</v>
      </c>
      <c r="P44" s="66">
        <v>1.15</v>
      </c>
      <c r="Q44" s="22">
        <f>P44*K44</f>
        <v>79.45375939849623</v>
      </c>
      <c r="R44" s="22">
        <f aca="true" t="shared" si="27" ref="R44:R57">T44/I44</f>
        <v>67.94263455326504</v>
      </c>
      <c r="S44" s="11">
        <f aca="true" t="shared" si="28" ref="S44:S56">H44*Q44</f>
        <v>8428.01795959021</v>
      </c>
      <c r="T44" s="11">
        <f aca="true" t="shared" si="29" ref="T44:T56">D44-S44</f>
        <v>65083.98204040979</v>
      </c>
      <c r="U44" s="17">
        <f>R44/Q44</f>
        <v>0.8551217093769252</v>
      </c>
      <c r="V44" s="65">
        <f aca="true" t="shared" si="30" ref="V44:V57">Q44*H44/G44</f>
        <v>104.0496044393853</v>
      </c>
    </row>
    <row r="45" spans="1:22" ht="12.75">
      <c r="A45" t="s">
        <v>385</v>
      </c>
      <c r="B45" s="11">
        <v>794</v>
      </c>
      <c r="C45" s="11">
        <v>69881</v>
      </c>
      <c r="D45" s="11">
        <f>C45</f>
        <v>69881</v>
      </c>
      <c r="E45" s="12">
        <f t="shared" si="18"/>
        <v>14.048324095908393</v>
      </c>
      <c r="F45" s="22">
        <f t="shared" si="19"/>
        <v>88.01133501259446</v>
      </c>
      <c r="G45" s="13">
        <v>105</v>
      </c>
      <c r="H45" s="10">
        <f aca="true" t="shared" si="31" ref="H45:H56">G45*H$57/G$57</f>
        <v>137.503984063745</v>
      </c>
      <c r="I45" s="11">
        <f t="shared" si="20"/>
        <v>656.4960159362549</v>
      </c>
      <c r="J45" s="22">
        <f t="shared" si="21"/>
        <v>17.317882123897355</v>
      </c>
      <c r="K45" s="22">
        <f t="shared" si="22"/>
        <v>88.01133501259446</v>
      </c>
      <c r="L45" s="22">
        <f t="shared" si="23"/>
        <v>88.01133501259446</v>
      </c>
      <c r="M45" s="11">
        <f t="shared" si="24"/>
        <v>12101.909207000712</v>
      </c>
      <c r="N45" s="11">
        <f t="shared" si="25"/>
        <v>57779.09079299928</v>
      </c>
      <c r="O45" s="65">
        <f t="shared" si="26"/>
        <v>115.25627816191154</v>
      </c>
      <c r="P45" s="66">
        <v>1.15</v>
      </c>
      <c r="Q45" s="22">
        <f aca="true" t="shared" si="32" ref="Q45:Q56">P45*K45</f>
        <v>101.21303526448362</v>
      </c>
      <c r="R45" s="22">
        <f t="shared" si="27"/>
        <v>85.24622092662206</v>
      </c>
      <c r="S45" s="11">
        <f t="shared" si="28"/>
        <v>13917.195588050818</v>
      </c>
      <c r="T45" s="11">
        <f t="shared" si="29"/>
        <v>55963.80441194918</v>
      </c>
      <c r="U45" s="17">
        <f aca="true" t="shared" si="33" ref="U45:U56">R45/Q45</f>
        <v>0.8422454746452561</v>
      </c>
      <c r="V45" s="65">
        <f t="shared" si="30"/>
        <v>132.54471988619827</v>
      </c>
    </row>
    <row r="46" spans="1:22" ht="12.75">
      <c r="A46" t="s">
        <v>386</v>
      </c>
      <c r="B46" s="11">
        <v>781</v>
      </c>
      <c r="C46" s="11">
        <v>116655</v>
      </c>
      <c r="D46" s="11">
        <f>C46*C$127/(C$127+C$128)</f>
        <v>60392.862175103925</v>
      </c>
      <c r="E46" s="12">
        <f t="shared" si="18"/>
        <v>12.140903835311274</v>
      </c>
      <c r="F46" s="22">
        <f t="shared" si="19"/>
        <v>77.32760841882705</v>
      </c>
      <c r="G46" s="13">
        <v>163</v>
      </c>
      <c r="H46" s="10">
        <f t="shared" si="31"/>
        <v>213.4585657370518</v>
      </c>
      <c r="I46" s="11">
        <f t="shared" si="20"/>
        <v>567.5414342629482</v>
      </c>
      <c r="J46" s="22">
        <f t="shared" si="21"/>
        <v>27.331442475934928</v>
      </c>
      <c r="K46" s="22">
        <f t="shared" si="22"/>
        <v>77.32760841882705</v>
      </c>
      <c r="L46" s="22">
        <f t="shared" si="23"/>
        <v>77.32760841882705</v>
      </c>
      <c r="M46" s="11">
        <f t="shared" si="24"/>
        <v>16506.240384959194</v>
      </c>
      <c r="N46" s="11">
        <f t="shared" si="25"/>
        <v>43886.62179014474</v>
      </c>
      <c r="O46" s="65">
        <f t="shared" si="26"/>
        <v>101.26527843533248</v>
      </c>
      <c r="P46" s="66">
        <v>1.2</v>
      </c>
      <c r="Q46" s="22">
        <f t="shared" si="32"/>
        <v>92.79313010259246</v>
      </c>
      <c r="R46" s="22">
        <f t="shared" si="27"/>
        <v>71.51085588290148</v>
      </c>
      <c r="S46" s="11">
        <f t="shared" si="28"/>
        <v>19807.48846195103</v>
      </c>
      <c r="T46" s="11">
        <f t="shared" si="29"/>
        <v>40585.37371315289</v>
      </c>
      <c r="U46" s="17">
        <f t="shared" si="33"/>
        <v>0.7706481697927292</v>
      </c>
      <c r="V46" s="65">
        <f t="shared" si="30"/>
        <v>121.51833412239895</v>
      </c>
    </row>
    <row r="47" spans="1:22" ht="12.75">
      <c r="A47" t="s">
        <v>387</v>
      </c>
      <c r="B47" s="11">
        <v>675</v>
      </c>
      <c r="C47" s="11"/>
      <c r="D47" s="11">
        <f>C46*C$128/(C$127+C$128)</f>
        <v>56262.137824896075</v>
      </c>
      <c r="E47" s="12">
        <f t="shared" si="18"/>
        <v>11.310495649644489</v>
      </c>
      <c r="F47" s="22">
        <f t="shared" si="19"/>
        <v>83.35131529614233</v>
      </c>
      <c r="G47" s="13">
        <v>121</v>
      </c>
      <c r="H47" s="10">
        <f t="shared" si="31"/>
        <v>158.4569721115538</v>
      </c>
      <c r="I47" s="11">
        <f t="shared" si="20"/>
        <v>516.5430278884462</v>
      </c>
      <c r="J47" s="22">
        <f t="shared" si="21"/>
        <v>23.475106979489453</v>
      </c>
      <c r="K47" s="22">
        <f t="shared" si="22"/>
        <v>83.35131529614233</v>
      </c>
      <c r="L47" s="22">
        <f t="shared" si="23"/>
        <v>83.35131529614233</v>
      </c>
      <c r="M47" s="11">
        <f t="shared" si="24"/>
        <v>13207.597043342153</v>
      </c>
      <c r="N47" s="11">
        <f t="shared" si="25"/>
        <v>43054.54078155392</v>
      </c>
      <c r="O47" s="65">
        <f t="shared" si="26"/>
        <v>109.15369457307565</v>
      </c>
      <c r="P47" s="66">
        <v>1.25</v>
      </c>
      <c r="Q47" s="22">
        <f t="shared" si="32"/>
        <v>104.18914412017791</v>
      </c>
      <c r="R47" s="22">
        <f t="shared" si="27"/>
        <v>76.9590128497552</v>
      </c>
      <c r="S47" s="11">
        <f t="shared" si="28"/>
        <v>16509.49630417769</v>
      </c>
      <c r="T47" s="11">
        <f t="shared" si="29"/>
        <v>39752.64152071839</v>
      </c>
      <c r="U47" s="17">
        <f t="shared" si="33"/>
        <v>0.7386471354538254</v>
      </c>
      <c r="V47" s="65">
        <f t="shared" si="30"/>
        <v>136.44211821634454</v>
      </c>
    </row>
    <row r="48" spans="1:22" ht="12.75">
      <c r="A48" t="s">
        <v>388</v>
      </c>
      <c r="B48" s="11">
        <v>750</v>
      </c>
      <c r="C48" s="11">
        <v>90523</v>
      </c>
      <c r="D48" s="11">
        <f>C48*C$129/(C$129+C$130)</f>
        <v>50488.88516430691</v>
      </c>
      <c r="E48" s="12">
        <f t="shared" si="18"/>
        <v>10.149886550411193</v>
      </c>
      <c r="F48" s="22">
        <f t="shared" si="19"/>
        <v>67.31851355240921</v>
      </c>
      <c r="G48" s="13">
        <v>154</v>
      </c>
      <c r="H48" s="10">
        <f t="shared" si="31"/>
        <v>201.67250996015937</v>
      </c>
      <c r="I48" s="11">
        <f t="shared" si="20"/>
        <v>548.3274900398407</v>
      </c>
      <c r="J48" s="22">
        <f t="shared" si="21"/>
        <v>26.889667994687915</v>
      </c>
      <c r="K48" s="22">
        <f t="shared" si="22"/>
        <v>67.31851355240921</v>
      </c>
      <c r="L48" s="22">
        <f t="shared" si="23"/>
        <v>67.31851355240921</v>
      </c>
      <c r="M48" s="11">
        <f t="shared" si="24"/>
        <v>13576.293594901372</v>
      </c>
      <c r="N48" s="11">
        <f t="shared" si="25"/>
        <v>36912.591569405544</v>
      </c>
      <c r="O48" s="65">
        <f t="shared" si="26"/>
        <v>88.15775061624268</v>
      </c>
      <c r="P48" s="66">
        <v>1.25</v>
      </c>
      <c r="Q48" s="22">
        <f t="shared" si="32"/>
        <v>84.14814194051152</v>
      </c>
      <c r="R48" s="22">
        <f t="shared" si="27"/>
        <v>61.128648078987965</v>
      </c>
      <c r="S48" s="11">
        <f t="shared" si="28"/>
        <v>16970.366993626714</v>
      </c>
      <c r="T48" s="11">
        <f t="shared" si="29"/>
        <v>33518.518170680196</v>
      </c>
      <c r="U48" s="17">
        <f t="shared" si="33"/>
        <v>0.7264408538242333</v>
      </c>
      <c r="V48" s="65">
        <f t="shared" si="30"/>
        <v>110.19718827030334</v>
      </c>
    </row>
    <row r="49" spans="1:22" ht="12.75">
      <c r="A49" t="s">
        <v>389</v>
      </c>
      <c r="B49" s="11">
        <v>816</v>
      </c>
      <c r="C49" s="11"/>
      <c r="D49" s="11">
        <f>C48*C$130/(C$129+C$130)</f>
        <v>40034.11483569309</v>
      </c>
      <c r="E49" s="12">
        <f t="shared" si="18"/>
        <v>8.04814212882802</v>
      </c>
      <c r="F49" s="22">
        <f t="shared" si="19"/>
        <v>49.061415239819965</v>
      </c>
      <c r="G49" s="13">
        <v>197</v>
      </c>
      <c r="H49" s="10">
        <f t="shared" si="31"/>
        <v>257.98366533864544</v>
      </c>
      <c r="I49" s="11">
        <f t="shared" si="20"/>
        <v>558.0163346613546</v>
      </c>
      <c r="J49" s="22">
        <f t="shared" si="21"/>
        <v>31.6156452620889</v>
      </c>
      <c r="K49" s="22">
        <f t="shared" si="22"/>
        <v>49.061415239819965</v>
      </c>
      <c r="L49" s="22">
        <f t="shared" si="23"/>
        <v>49.061415239819965</v>
      </c>
      <c r="M49" s="11">
        <f t="shared" si="24"/>
        <v>12657.043730270032</v>
      </c>
      <c r="N49" s="11">
        <f t="shared" si="25"/>
        <v>27377.07110542306</v>
      </c>
      <c r="O49" s="65">
        <f t="shared" si="26"/>
        <v>64.24895294553316</v>
      </c>
      <c r="P49" s="66">
        <v>1.25</v>
      </c>
      <c r="Q49" s="22">
        <f t="shared" si="32"/>
        <v>61.32676904977495</v>
      </c>
      <c r="R49" s="22">
        <f t="shared" si="27"/>
        <v>43.390862720084485</v>
      </c>
      <c r="S49" s="11">
        <f t="shared" si="28"/>
        <v>15821.30466283754</v>
      </c>
      <c r="T49" s="11">
        <f t="shared" si="29"/>
        <v>24212.810172855556</v>
      </c>
      <c r="U49" s="17">
        <f t="shared" si="33"/>
        <v>0.7075354432069777</v>
      </c>
      <c r="V49" s="65">
        <f t="shared" si="30"/>
        <v>80.31119118191644</v>
      </c>
    </row>
    <row r="50" spans="1:22" ht="12.75">
      <c r="A50" t="s">
        <v>390</v>
      </c>
      <c r="B50" s="11">
        <v>942</v>
      </c>
      <c r="C50" s="11">
        <v>73325</v>
      </c>
      <c r="D50" s="11">
        <f>C50*(C$131/(C$131+C$132)-0.04)</f>
        <v>38124.669407030255</v>
      </c>
      <c r="E50" s="12">
        <f t="shared" si="18"/>
        <v>7.664282306769003</v>
      </c>
      <c r="F50" s="22">
        <f t="shared" si="19"/>
        <v>40.4720482027922</v>
      </c>
      <c r="G50" s="13">
        <v>251</v>
      </c>
      <c r="H50" s="10">
        <f t="shared" si="31"/>
        <v>328.7</v>
      </c>
      <c r="I50" s="11">
        <f t="shared" si="20"/>
        <v>613.3</v>
      </c>
      <c r="J50" s="22">
        <f t="shared" si="21"/>
        <v>34.89384288747346</v>
      </c>
      <c r="K50" s="22">
        <f t="shared" si="22"/>
        <v>40.4720482027922</v>
      </c>
      <c r="L50" s="22">
        <f t="shared" si="23"/>
        <v>40.4720482027922</v>
      </c>
      <c r="M50" s="11">
        <f t="shared" si="24"/>
        <v>13303.162244257795</v>
      </c>
      <c r="N50" s="11">
        <f t="shared" si="25"/>
        <v>24821.507162772454</v>
      </c>
      <c r="O50" s="65">
        <f t="shared" si="26"/>
        <v>53.000646391465324</v>
      </c>
      <c r="P50" s="66">
        <v>1.25</v>
      </c>
      <c r="Q50" s="22">
        <f t="shared" si="32"/>
        <v>50.59006025349025</v>
      </c>
      <c r="R50" s="22">
        <f t="shared" si="27"/>
        <v>35.04926887609329</v>
      </c>
      <c r="S50" s="11">
        <f t="shared" si="28"/>
        <v>16628.952805322246</v>
      </c>
      <c r="T50" s="11">
        <f t="shared" si="29"/>
        <v>21495.71660170801</v>
      </c>
      <c r="U50" s="17">
        <f t="shared" si="33"/>
        <v>0.6928093918147727</v>
      </c>
      <c r="V50" s="65">
        <f t="shared" si="30"/>
        <v>66.25080798933166</v>
      </c>
    </row>
    <row r="51" spans="1:22" ht="12.75">
      <c r="A51" t="s">
        <v>391</v>
      </c>
      <c r="B51" s="11">
        <v>891</v>
      </c>
      <c r="C51" s="11"/>
      <c r="D51" s="11">
        <f>C50*(C$132/(C$131+C$132)+0.04)</f>
        <v>35200.330592969745</v>
      </c>
      <c r="E51" s="12">
        <f t="shared" si="18"/>
        <v>7.0763963373901095</v>
      </c>
      <c r="F51" s="22">
        <f t="shared" si="19"/>
        <v>39.50654387538692</v>
      </c>
      <c r="G51" s="13">
        <v>206</v>
      </c>
      <c r="H51" s="10">
        <f t="shared" si="31"/>
        <v>269.76972111553783</v>
      </c>
      <c r="I51" s="11">
        <f t="shared" si="20"/>
        <v>621.2302788844622</v>
      </c>
      <c r="J51" s="22">
        <f t="shared" si="21"/>
        <v>30.27718531038584</v>
      </c>
      <c r="K51" s="22">
        <f t="shared" si="22"/>
        <v>39.50654387538692</v>
      </c>
      <c r="L51" s="22">
        <f t="shared" si="23"/>
        <v>39.50654387538692</v>
      </c>
      <c r="M51" s="11">
        <f t="shared" si="24"/>
        <v>10657.669323501888</v>
      </c>
      <c r="N51" s="11">
        <f t="shared" si="25"/>
        <v>24542.66126946786</v>
      </c>
      <c r="O51" s="65">
        <f t="shared" si="26"/>
        <v>51.736258851950915</v>
      </c>
      <c r="P51" s="66">
        <v>1.2</v>
      </c>
      <c r="Q51" s="22">
        <f t="shared" si="32"/>
        <v>47.4078526504643</v>
      </c>
      <c r="R51" s="22">
        <f t="shared" si="27"/>
        <v>36.075394530046005</v>
      </c>
      <c r="S51" s="11">
        <f t="shared" si="28"/>
        <v>12789.203188202266</v>
      </c>
      <c r="T51" s="11">
        <f t="shared" si="29"/>
        <v>22411.12740476748</v>
      </c>
      <c r="U51" s="17">
        <f t="shared" si="33"/>
        <v>0.7609582065660738</v>
      </c>
      <c r="V51" s="65">
        <f t="shared" si="30"/>
        <v>62.083510622341095</v>
      </c>
    </row>
    <row r="52" spans="1:22" ht="12.75">
      <c r="A52" t="s">
        <v>392</v>
      </c>
      <c r="B52" s="11">
        <v>1159</v>
      </c>
      <c r="C52" s="11">
        <v>49824</v>
      </c>
      <c r="D52" s="11">
        <f>C52*C$133/(C$133+C$134)</f>
        <v>29556.840345531295</v>
      </c>
      <c r="E52" s="12">
        <f t="shared" si="18"/>
        <v>5.941873648417232</v>
      </c>
      <c r="F52" s="22">
        <f t="shared" si="19"/>
        <v>25.502019280009744</v>
      </c>
      <c r="G52" s="13">
        <v>285</v>
      </c>
      <c r="H52" s="10">
        <f t="shared" si="31"/>
        <v>373.2250996015936</v>
      </c>
      <c r="I52" s="11">
        <f t="shared" si="20"/>
        <v>785.7749003984063</v>
      </c>
      <c r="J52" s="22">
        <f t="shared" si="21"/>
        <v>32.202338188230684</v>
      </c>
      <c r="K52" s="22">
        <f t="shared" si="22"/>
        <v>25.502019280009744</v>
      </c>
      <c r="L52" s="22">
        <f t="shared" si="23"/>
        <v>25.502019280009744</v>
      </c>
      <c r="M52" s="11">
        <f t="shared" si="24"/>
        <v>9517.993685823398</v>
      </c>
      <c r="N52" s="11">
        <f t="shared" si="25"/>
        <v>20038.846659707895</v>
      </c>
      <c r="O52" s="65">
        <f t="shared" si="26"/>
        <v>33.39646907306455</v>
      </c>
      <c r="P52" s="66">
        <v>1.15</v>
      </c>
      <c r="Q52" s="22">
        <f t="shared" si="32"/>
        <v>29.327322172011204</v>
      </c>
      <c r="R52" s="22">
        <f t="shared" si="27"/>
        <v>23.68508792708713</v>
      </c>
      <c r="S52" s="11">
        <f t="shared" si="28"/>
        <v>10945.692738696907</v>
      </c>
      <c r="T52" s="11">
        <f t="shared" si="29"/>
        <v>18611.147606834387</v>
      </c>
      <c r="U52" s="17">
        <f t="shared" si="33"/>
        <v>0.8076116799266184</v>
      </c>
      <c r="V52" s="65">
        <f t="shared" si="30"/>
        <v>38.40593943402423</v>
      </c>
    </row>
    <row r="53" spans="1:22" ht="12.75">
      <c r="A53" t="s">
        <v>393</v>
      </c>
      <c r="B53" s="11">
        <v>1114</v>
      </c>
      <c r="C53" s="11"/>
      <c r="D53" s="11">
        <f>C52*C$134/(C$133+C$134)</f>
        <v>20267.159654468705</v>
      </c>
      <c r="E53" s="12">
        <f t="shared" si="18"/>
        <v>4.074349641955541</v>
      </c>
      <c r="F53" s="22">
        <f t="shared" si="19"/>
        <v>18.193141521067062</v>
      </c>
      <c r="G53" s="13">
        <v>276</v>
      </c>
      <c r="H53" s="10">
        <f t="shared" si="31"/>
        <v>361.4390438247012</v>
      </c>
      <c r="I53" s="11">
        <f t="shared" si="20"/>
        <v>752.5609561752988</v>
      </c>
      <c r="J53" s="22">
        <f t="shared" si="21"/>
        <v>32.44515653722632</v>
      </c>
      <c r="K53" s="22">
        <f t="shared" si="22"/>
        <v>18.193141521067062</v>
      </c>
      <c r="L53" s="22">
        <f t="shared" si="23"/>
        <v>18.193141521067062</v>
      </c>
      <c r="M53" s="11">
        <f t="shared" si="24"/>
        <v>6575.711675541948</v>
      </c>
      <c r="N53" s="11">
        <f t="shared" si="25"/>
        <v>13691.447978926757</v>
      </c>
      <c r="O53" s="65">
        <f t="shared" si="26"/>
        <v>23.825042302688217</v>
      </c>
      <c r="P53" s="66">
        <v>1.1</v>
      </c>
      <c r="Q53" s="22">
        <f t="shared" si="32"/>
        <v>20.01245567317377</v>
      </c>
      <c r="R53" s="22">
        <f t="shared" si="27"/>
        <v>17.31936357370166</v>
      </c>
      <c r="S53" s="11">
        <f t="shared" si="28"/>
        <v>7233.282843096144</v>
      </c>
      <c r="T53" s="11">
        <f t="shared" si="29"/>
        <v>13033.876811372562</v>
      </c>
      <c r="U53" s="17">
        <f t="shared" si="33"/>
        <v>0.8654292035193795</v>
      </c>
      <c r="V53" s="65">
        <f t="shared" si="30"/>
        <v>26.207546532957043</v>
      </c>
    </row>
    <row r="54" spans="1:22" ht="12.75">
      <c r="A54" t="s">
        <v>394</v>
      </c>
      <c r="B54" s="11">
        <v>1048</v>
      </c>
      <c r="C54" s="11">
        <v>19483</v>
      </c>
      <c r="D54" s="11">
        <f>C54*C$135/(C$135+C$136)</f>
        <v>12889.825087168758</v>
      </c>
      <c r="E54" s="12">
        <f t="shared" si="18"/>
        <v>2.5912685903767456</v>
      </c>
      <c r="F54" s="22">
        <f t="shared" si="19"/>
        <v>12.299451419054158</v>
      </c>
      <c r="G54" s="13">
        <v>250</v>
      </c>
      <c r="H54" s="10">
        <f t="shared" si="31"/>
        <v>327.39043824701196</v>
      </c>
      <c r="I54" s="11">
        <f t="shared" si="20"/>
        <v>720.609561752988</v>
      </c>
      <c r="J54" s="22">
        <f t="shared" si="21"/>
        <v>31.239545634256867</v>
      </c>
      <c r="K54" s="22">
        <f t="shared" si="22"/>
        <v>12.299451419054158</v>
      </c>
      <c r="L54" s="22">
        <f t="shared" si="23"/>
        <v>12.299451419054158</v>
      </c>
      <c r="M54" s="11">
        <f t="shared" si="24"/>
        <v>4026.722790281974</v>
      </c>
      <c r="N54" s="11">
        <f t="shared" si="25"/>
        <v>8863.102296886784</v>
      </c>
      <c r="O54" s="65">
        <f t="shared" si="26"/>
        <v>16.106891161127898</v>
      </c>
      <c r="P54" s="66">
        <v>1.05</v>
      </c>
      <c r="Q54" s="22">
        <f t="shared" si="32"/>
        <v>12.914423990006867</v>
      </c>
      <c r="R54" s="22">
        <f t="shared" si="27"/>
        <v>12.020054433224105</v>
      </c>
      <c r="S54" s="11">
        <f t="shared" si="28"/>
        <v>4228.058929796073</v>
      </c>
      <c r="T54" s="11">
        <f t="shared" si="29"/>
        <v>8661.766157372684</v>
      </c>
      <c r="U54" s="17">
        <f t="shared" si="33"/>
        <v>0.9307464616714751</v>
      </c>
      <c r="V54" s="65">
        <f t="shared" si="30"/>
        <v>16.91223571918429</v>
      </c>
    </row>
    <row r="55" spans="1:22" ht="12.75">
      <c r="A55" t="s">
        <v>395</v>
      </c>
      <c r="B55" s="11">
        <v>841</v>
      </c>
      <c r="C55" s="11"/>
      <c r="D55" s="11">
        <f>C54*C$136/(C$135+C$136)</f>
        <v>6593.174912831241</v>
      </c>
      <c r="E55" s="12">
        <f t="shared" si="18"/>
        <v>1.3254397904504207</v>
      </c>
      <c r="F55" s="22">
        <f t="shared" si="19"/>
        <v>7.839684795280905</v>
      </c>
      <c r="G55" s="13">
        <v>210</v>
      </c>
      <c r="H55" s="10">
        <f t="shared" si="31"/>
        <v>275.00796812749</v>
      </c>
      <c r="I55" s="11">
        <f t="shared" si="20"/>
        <v>565.99203187251</v>
      </c>
      <c r="J55" s="22">
        <f t="shared" si="21"/>
        <v>32.70011511622949</v>
      </c>
      <c r="K55" s="22">
        <f t="shared" si="22"/>
        <v>7.839684795280905</v>
      </c>
      <c r="L55" s="22">
        <f t="shared" si="23"/>
        <v>7.839684795280905</v>
      </c>
      <c r="M55" s="11">
        <f t="shared" si="24"/>
        <v>2155.9757863101795</v>
      </c>
      <c r="N55" s="11">
        <f t="shared" si="25"/>
        <v>4437.199126521062</v>
      </c>
      <c r="O55" s="65">
        <f t="shared" si="26"/>
        <v>10.266551363381808</v>
      </c>
      <c r="P55" s="66">
        <v>1</v>
      </c>
      <c r="Q55" s="22">
        <f t="shared" si="32"/>
        <v>7.839684795280905</v>
      </c>
      <c r="R55" s="22">
        <f t="shared" si="27"/>
        <v>7.839684795280905</v>
      </c>
      <c r="S55" s="11">
        <f t="shared" si="28"/>
        <v>2155.9757863101795</v>
      </c>
      <c r="T55" s="11">
        <f t="shared" si="29"/>
        <v>4437.199126521062</v>
      </c>
      <c r="U55" s="17">
        <f t="shared" si="33"/>
        <v>1</v>
      </c>
      <c r="V55" s="65">
        <f t="shared" si="30"/>
        <v>10.266551363381808</v>
      </c>
    </row>
    <row r="56" spans="1:22" ht="12.75">
      <c r="A56" t="s">
        <v>396</v>
      </c>
      <c r="B56" s="11">
        <v>778</v>
      </c>
      <c r="C56" s="11">
        <v>4230</v>
      </c>
      <c r="D56" s="11">
        <f>C56</f>
        <v>4230</v>
      </c>
      <c r="E56" s="12">
        <f t="shared" si="18"/>
        <v>0.8503657779037579</v>
      </c>
      <c r="F56" s="22">
        <f t="shared" si="19"/>
        <v>5.4370179948586115</v>
      </c>
      <c r="G56" s="13">
        <v>211</v>
      </c>
      <c r="H56" s="10">
        <f t="shared" si="31"/>
        <v>276.3175298804781</v>
      </c>
      <c r="I56" s="11">
        <f t="shared" si="20"/>
        <v>501.6824701195219</v>
      </c>
      <c r="J56" s="22">
        <f t="shared" si="21"/>
        <v>35.516392015485614</v>
      </c>
      <c r="K56" s="22">
        <f t="shared" si="22"/>
        <v>5.4370179948586115</v>
      </c>
      <c r="L56" s="22">
        <f t="shared" si="23"/>
        <v>5.4370179948586115</v>
      </c>
      <c r="M56" s="11">
        <f t="shared" si="24"/>
        <v>1502.3433822550414</v>
      </c>
      <c r="N56" s="11">
        <f t="shared" si="25"/>
        <v>2727.656617744958</v>
      </c>
      <c r="O56" s="65">
        <f t="shared" si="26"/>
        <v>7.120110816374604</v>
      </c>
      <c r="P56" s="66">
        <v>1</v>
      </c>
      <c r="Q56" s="22">
        <f t="shared" si="32"/>
        <v>5.4370179948586115</v>
      </c>
      <c r="R56" s="22">
        <f t="shared" si="27"/>
        <v>5.437017994858612</v>
      </c>
      <c r="S56" s="11">
        <f t="shared" si="28"/>
        <v>1502.3433822550414</v>
      </c>
      <c r="T56" s="11">
        <f t="shared" si="29"/>
        <v>2727.6566177449586</v>
      </c>
      <c r="U56" s="17">
        <f t="shared" si="33"/>
        <v>1.0000000000000002</v>
      </c>
      <c r="V56" s="65">
        <f t="shared" si="30"/>
        <v>7.120110816374604</v>
      </c>
    </row>
    <row r="57" spans="1:22" ht="12.75">
      <c r="A57" t="s">
        <v>18</v>
      </c>
      <c r="B57" s="11">
        <f>SUM(B44:B56)</f>
        <v>11653</v>
      </c>
      <c r="C57" s="11">
        <f>SUM(C44:C56)</f>
        <v>497433</v>
      </c>
      <c r="D57" s="11">
        <f>SUM(D44:D56)</f>
        <v>497433</v>
      </c>
      <c r="E57" s="12">
        <f t="shared" si="18"/>
        <v>100</v>
      </c>
      <c r="F57" s="22">
        <f t="shared" si="19"/>
        <v>42.68711919677337</v>
      </c>
      <c r="G57" s="11">
        <f>SUM(G44:G56)</f>
        <v>2510</v>
      </c>
      <c r="H57" s="11">
        <v>3287</v>
      </c>
      <c r="I57" s="11">
        <f>SUM(I44:I56)</f>
        <v>8366</v>
      </c>
      <c r="J57" s="22">
        <f t="shared" si="21"/>
        <v>28.207328584913757</v>
      </c>
      <c r="K57" s="22">
        <f>M57/H57</f>
        <v>37.45584852986145</v>
      </c>
      <c r="L57" s="65">
        <f>N57/I57</f>
        <v>44.742484566381236</v>
      </c>
      <c r="M57" s="11">
        <f>SUM(M44:M56)</f>
        <v>123117.37411765457</v>
      </c>
      <c r="N57" s="11">
        <f>SUM(N44:N56)</f>
        <v>374315.6258823454</v>
      </c>
      <c r="O57" s="65">
        <f t="shared" si="26"/>
        <v>49.05074666042015</v>
      </c>
      <c r="P57" s="65"/>
      <c r="Q57" s="22">
        <f>S57/H57</f>
        <v>44.70257975172281</v>
      </c>
      <c r="R57" s="65">
        <f t="shared" si="27"/>
        <v>41.895245082008984</v>
      </c>
      <c r="S57" s="11">
        <f>SUM(S44:S56)</f>
        <v>146937.37964391286</v>
      </c>
      <c r="T57" s="11">
        <f>SUM(T44:T56)</f>
        <v>350495.62035608717</v>
      </c>
      <c r="U57" s="11"/>
      <c r="V57" s="65">
        <f t="shared" si="30"/>
        <v>58.54078870275413</v>
      </c>
    </row>
    <row r="58" spans="2:24" ht="12.75">
      <c r="B58" s="11"/>
      <c r="C58" s="11"/>
      <c r="D58" s="11"/>
      <c r="E58" s="12"/>
      <c r="F58" s="22"/>
      <c r="G58" s="11"/>
      <c r="H58" s="11"/>
      <c r="I58" s="11"/>
      <c r="J58" s="22"/>
      <c r="K58" s="22"/>
      <c r="L58" s="65"/>
      <c r="M58" s="11"/>
      <c r="N58" s="11"/>
      <c r="O58" s="65"/>
      <c r="Q58" s="6"/>
      <c r="R58" s="6"/>
      <c r="S58" s="6"/>
      <c r="T58" s="6"/>
      <c r="U58" s="6"/>
      <c r="V58" s="6"/>
      <c r="W58" s="6"/>
      <c r="X58" s="6"/>
    </row>
    <row r="59" spans="2:24" ht="12.75">
      <c r="B59" s="11"/>
      <c r="C59" s="11"/>
      <c r="D59" s="11"/>
      <c r="E59" s="12"/>
      <c r="F59" s="22"/>
      <c r="G59" s="11"/>
      <c r="H59" s="11"/>
      <c r="I59" s="11"/>
      <c r="J59" s="22"/>
      <c r="K59" s="22"/>
      <c r="L59" s="65"/>
      <c r="M59" s="11"/>
      <c r="N59" s="11"/>
      <c r="O59" s="65"/>
      <c r="Q59" s="6"/>
      <c r="R59" s="6"/>
      <c r="S59" s="6"/>
      <c r="T59" s="6"/>
      <c r="U59" s="6"/>
      <c r="V59" s="6"/>
      <c r="W59" s="6"/>
      <c r="X59" s="6"/>
    </row>
    <row r="60" spans="2:24" ht="12.75">
      <c r="B60" s="11"/>
      <c r="C60" s="11"/>
      <c r="D60" s="11"/>
      <c r="E60" s="12"/>
      <c r="F60" s="22"/>
      <c r="G60" s="11"/>
      <c r="H60" s="11"/>
      <c r="I60" s="11"/>
      <c r="J60" s="22"/>
      <c r="K60" s="22"/>
      <c r="L60" s="65"/>
      <c r="M60" s="11"/>
      <c r="N60" s="11"/>
      <c r="O60" s="65"/>
      <c r="Q60" s="6"/>
      <c r="R60" s="6"/>
      <c r="S60" s="6"/>
      <c r="T60" s="6"/>
      <c r="U60" s="6"/>
      <c r="V60" s="6"/>
      <c r="W60" s="6"/>
      <c r="X60" s="6"/>
    </row>
    <row r="61" spans="2:24" ht="12.75">
      <c r="B61" s="11"/>
      <c r="C61" s="11"/>
      <c r="D61" s="11"/>
      <c r="E61" s="12"/>
      <c r="F61" s="22"/>
      <c r="G61" s="11"/>
      <c r="H61" s="11"/>
      <c r="I61" s="11"/>
      <c r="J61" s="22"/>
      <c r="K61" s="22"/>
      <c r="L61" s="65"/>
      <c r="M61" s="11"/>
      <c r="N61" s="11"/>
      <c r="O61" s="65"/>
      <c r="Q61" s="6"/>
      <c r="R61" s="6"/>
      <c r="S61" s="6"/>
      <c r="T61" s="6"/>
      <c r="U61" s="6"/>
      <c r="V61" s="6"/>
      <c r="W61" s="6"/>
      <c r="X61" s="6"/>
    </row>
    <row r="62" spans="2:20" ht="12.75">
      <c r="B62" s="21"/>
      <c r="C62" s="21"/>
      <c r="D62" s="21"/>
      <c r="E62" s="21"/>
      <c r="F62" s="21"/>
      <c r="K62" s="69" t="s">
        <v>411</v>
      </c>
      <c r="L62" s="69"/>
      <c r="M62" s="69"/>
      <c r="N62" s="69"/>
      <c r="O62" s="69"/>
      <c r="P62" s="69" t="s">
        <v>512</v>
      </c>
      <c r="Q62" s="69"/>
      <c r="R62" s="69"/>
      <c r="S62" s="69"/>
      <c r="T62" s="69"/>
    </row>
    <row r="63" spans="1:22" ht="12.75">
      <c r="A63" s="64">
        <v>1827</v>
      </c>
      <c r="B63" t="s">
        <v>383</v>
      </c>
      <c r="C63" t="s">
        <v>471</v>
      </c>
      <c r="D63" t="s">
        <v>420</v>
      </c>
      <c r="E63" t="s">
        <v>6</v>
      </c>
      <c r="F63" t="s">
        <v>398</v>
      </c>
      <c r="G63" t="s">
        <v>421</v>
      </c>
      <c r="H63" t="s">
        <v>472</v>
      </c>
      <c r="I63" t="s">
        <v>422</v>
      </c>
      <c r="J63" t="s">
        <v>403</v>
      </c>
      <c r="K63" t="s">
        <v>425</v>
      </c>
      <c r="L63" t="s">
        <v>426</v>
      </c>
      <c r="M63" t="s">
        <v>427</v>
      </c>
      <c r="N63" t="s">
        <v>428</v>
      </c>
      <c r="O63" t="s">
        <v>425</v>
      </c>
      <c r="P63" t="s">
        <v>514</v>
      </c>
      <c r="Q63" t="s">
        <v>406</v>
      </c>
      <c r="R63" t="s">
        <v>407</v>
      </c>
      <c r="S63" t="s">
        <v>404</v>
      </c>
      <c r="T63" t="s">
        <v>405</v>
      </c>
      <c r="U63" t="s">
        <v>513</v>
      </c>
      <c r="V63" t="s">
        <v>406</v>
      </c>
    </row>
    <row r="64" spans="1:22" ht="12.75">
      <c r="A64" t="s">
        <v>384</v>
      </c>
      <c r="B64" s="11">
        <v>1291</v>
      </c>
      <c r="C64" s="11">
        <v>83970</v>
      </c>
      <c r="D64" s="11">
        <v>83970</v>
      </c>
      <c r="E64" s="12">
        <f aca="true" t="shared" si="34" ref="E64:E77">100*D64/D$57</f>
        <v>16.880665335834173</v>
      </c>
      <c r="F64" s="22">
        <f aca="true" t="shared" si="35" ref="F64:F77">D64/B64</f>
        <v>65.04260263361735</v>
      </c>
      <c r="G64" s="13">
        <v>91</v>
      </c>
      <c r="H64" s="10">
        <f>G64*H$77/G$77</f>
        <v>125.68827930174564</v>
      </c>
      <c r="I64" s="11">
        <f aca="true" t="shared" si="36" ref="I64:I76">B64-H64</f>
        <v>1165.3117206982542</v>
      </c>
      <c r="J64" s="22">
        <f aca="true" t="shared" si="37" ref="J64:J77">100*H64/B64</f>
        <v>9.735730387431886</v>
      </c>
      <c r="K64" s="22">
        <f aca="true" t="shared" si="38" ref="K64:K76">F64</f>
        <v>65.04260263361735</v>
      </c>
      <c r="L64" s="22">
        <f aca="true" t="shared" si="39" ref="L64:L76">F64</f>
        <v>65.04260263361735</v>
      </c>
      <c r="M64" s="11">
        <f aca="true" t="shared" si="40" ref="M64:M76">H64*K64</f>
        <v>8175.092806326554</v>
      </c>
      <c r="N64" s="11">
        <f aca="true" t="shared" si="41" ref="N64:N76">I64*L64</f>
        <v>75794.90719367344</v>
      </c>
      <c r="O64" s="65">
        <f aca="true" t="shared" si="42" ref="O64:O77">K64*H64/G64</f>
        <v>89.83618468490718</v>
      </c>
      <c r="P64" s="66">
        <v>1.15</v>
      </c>
      <c r="Q64" s="22">
        <f>P64*K64</f>
        <v>74.79899302865995</v>
      </c>
      <c r="R64" s="22">
        <f aca="true" t="shared" si="43" ref="R64:R77">T64/I64</f>
        <v>63.9902971438775</v>
      </c>
      <c r="S64" s="11">
        <f aca="true" t="shared" si="44" ref="S64:S76">H64*Q64</f>
        <v>9401.356727275537</v>
      </c>
      <c r="T64" s="11">
        <f aca="true" t="shared" si="45" ref="T64:T76">D64-S64</f>
        <v>74568.64327272447</v>
      </c>
      <c r="U64" s="17">
        <f>R64/Q64</f>
        <v>0.855496772788893</v>
      </c>
      <c r="V64" s="65">
        <f aca="true" t="shared" si="46" ref="V64:V77">Q64*H64/G64</f>
        <v>103.31161238764327</v>
      </c>
    </row>
    <row r="65" spans="1:22" ht="12.75">
      <c r="A65" t="s">
        <v>385</v>
      </c>
      <c r="B65" s="11">
        <v>1249</v>
      </c>
      <c r="C65" s="11">
        <v>81742.5</v>
      </c>
      <c r="D65" s="11">
        <v>81742.5</v>
      </c>
      <c r="E65" s="12">
        <f t="shared" si="34"/>
        <v>16.432866335767834</v>
      </c>
      <c r="F65" s="22">
        <f t="shared" si="35"/>
        <v>65.44635708566854</v>
      </c>
      <c r="G65" s="13">
        <v>134</v>
      </c>
      <c r="H65" s="10">
        <f aca="true" t="shared" si="47" ref="H65:H76">G65*H$77/G$77</f>
        <v>185.07944424652655</v>
      </c>
      <c r="I65" s="11">
        <f t="shared" si="36"/>
        <v>1063.9205557534735</v>
      </c>
      <c r="J65" s="22">
        <f t="shared" si="37"/>
        <v>14.81821010780837</v>
      </c>
      <c r="K65" s="22">
        <f t="shared" si="38"/>
        <v>65.44635708566854</v>
      </c>
      <c r="L65" s="22">
        <f t="shared" si="39"/>
        <v>65.44635708566854</v>
      </c>
      <c r="M65" s="11">
        <f t="shared" si="40"/>
        <v>12112.775397375259</v>
      </c>
      <c r="N65" s="11">
        <f t="shared" si="41"/>
        <v>69629.72460262474</v>
      </c>
      <c r="O65" s="65">
        <f t="shared" si="42"/>
        <v>90.3938462490691</v>
      </c>
      <c r="P65" s="66">
        <v>1.15</v>
      </c>
      <c r="Q65" s="22">
        <f aca="true" t="shared" si="48" ref="Q65:Q76">P65*K65</f>
        <v>75.26331064851881</v>
      </c>
      <c r="R65" s="22">
        <f t="shared" si="43"/>
        <v>63.738601464460956</v>
      </c>
      <c r="S65" s="11">
        <f t="shared" si="44"/>
        <v>13929.691706981544</v>
      </c>
      <c r="T65" s="11">
        <f t="shared" si="45"/>
        <v>67812.80829301846</v>
      </c>
      <c r="U65" s="17">
        <f aca="true" t="shared" si="49" ref="U65:U76">R65/Q65</f>
        <v>0.8468748041409117</v>
      </c>
      <c r="V65" s="65">
        <f t="shared" si="46"/>
        <v>103.95292318642943</v>
      </c>
    </row>
    <row r="66" spans="1:22" ht="12.75">
      <c r="A66" t="s">
        <v>386</v>
      </c>
      <c r="B66" s="11">
        <v>987</v>
      </c>
      <c r="C66" s="11">
        <v>148521</v>
      </c>
      <c r="D66" s="11">
        <v>76890.0457169312</v>
      </c>
      <c r="E66" s="12">
        <f t="shared" si="34"/>
        <v>15.457367266934682</v>
      </c>
      <c r="F66" s="22">
        <f t="shared" si="35"/>
        <v>77.90278188138926</v>
      </c>
      <c r="G66" s="13">
        <v>181</v>
      </c>
      <c r="H66" s="10">
        <f t="shared" si="47"/>
        <v>249.99536872105452</v>
      </c>
      <c r="I66" s="11">
        <f t="shared" si="36"/>
        <v>737.0046312789455</v>
      </c>
      <c r="J66" s="22">
        <f t="shared" si="37"/>
        <v>25.328811420572897</v>
      </c>
      <c r="K66" s="22">
        <f t="shared" si="38"/>
        <v>77.90278188138926</v>
      </c>
      <c r="L66" s="22">
        <f t="shared" si="39"/>
        <v>77.90278188138926</v>
      </c>
      <c r="M66" s="11">
        <f t="shared" si="40"/>
        <v>19475.334680833792</v>
      </c>
      <c r="N66" s="11">
        <f t="shared" si="41"/>
        <v>57414.711036097404</v>
      </c>
      <c r="O66" s="65">
        <f t="shared" si="42"/>
        <v>107.598534148253</v>
      </c>
      <c r="P66" s="66">
        <v>1.2</v>
      </c>
      <c r="Q66" s="22">
        <f t="shared" si="48"/>
        <v>93.48333825766711</v>
      </c>
      <c r="R66" s="22">
        <f t="shared" si="43"/>
        <v>72.61778532796527</v>
      </c>
      <c r="S66" s="11">
        <f t="shared" si="44"/>
        <v>23370.401617000553</v>
      </c>
      <c r="T66" s="11">
        <f t="shared" si="45"/>
        <v>53519.64409993065</v>
      </c>
      <c r="U66" s="17">
        <f t="shared" si="49"/>
        <v>0.7767992316214645</v>
      </c>
      <c r="V66" s="65">
        <f t="shared" si="46"/>
        <v>129.1182409779036</v>
      </c>
    </row>
    <row r="67" spans="1:22" ht="12.75">
      <c r="A67" t="s">
        <v>387</v>
      </c>
      <c r="B67" s="11">
        <v>838</v>
      </c>
      <c r="C67" s="11"/>
      <c r="D67" s="11">
        <v>71630.9542830688</v>
      </c>
      <c r="E67" s="12">
        <f t="shared" si="34"/>
        <v>14.400121078229391</v>
      </c>
      <c r="F67" s="22">
        <f t="shared" si="35"/>
        <v>85.47846573158569</v>
      </c>
      <c r="G67" s="13">
        <v>168</v>
      </c>
      <c r="H67" s="10">
        <f t="shared" si="47"/>
        <v>232.03990024937656</v>
      </c>
      <c r="I67" s="11">
        <f t="shared" si="36"/>
        <v>605.9600997506234</v>
      </c>
      <c r="J67" s="22">
        <f t="shared" si="37"/>
        <v>27.689725566751378</v>
      </c>
      <c r="K67" s="22">
        <f t="shared" si="38"/>
        <v>85.47846573158569</v>
      </c>
      <c r="L67" s="22">
        <f t="shared" si="39"/>
        <v>85.47846573158569</v>
      </c>
      <c r="M67" s="11">
        <f t="shared" si="40"/>
        <v>19834.414661826893</v>
      </c>
      <c r="N67" s="11">
        <f t="shared" si="41"/>
        <v>51796.53962124191</v>
      </c>
      <c r="O67" s="65">
        <f t="shared" si="42"/>
        <v>118.06199203468388</v>
      </c>
      <c r="P67" s="66">
        <v>1.25</v>
      </c>
      <c r="Q67" s="22">
        <f t="shared" si="48"/>
        <v>106.84808216448211</v>
      </c>
      <c r="R67" s="22">
        <f t="shared" si="43"/>
        <v>77.29541264360616</v>
      </c>
      <c r="S67" s="11">
        <f t="shared" si="44"/>
        <v>24793.01832728362</v>
      </c>
      <c r="T67" s="11">
        <f t="shared" si="45"/>
        <v>46837.935955785186</v>
      </c>
      <c r="U67" s="17">
        <f t="shared" si="49"/>
        <v>0.7234141322688177</v>
      </c>
      <c r="V67" s="65">
        <f t="shared" si="46"/>
        <v>147.57749004335489</v>
      </c>
    </row>
    <row r="68" spans="1:22" ht="12.75">
      <c r="A68" t="s">
        <v>388</v>
      </c>
      <c r="B68" s="11">
        <v>826</v>
      </c>
      <c r="C68" s="11">
        <v>101449</v>
      </c>
      <c r="D68" s="11">
        <v>56582.82327180685</v>
      </c>
      <c r="E68" s="12">
        <f t="shared" si="34"/>
        <v>11.374963718090044</v>
      </c>
      <c r="F68" s="22">
        <f t="shared" si="35"/>
        <v>68.50220735085574</v>
      </c>
      <c r="G68" s="13">
        <v>169</v>
      </c>
      <c r="H68" s="10">
        <f t="shared" si="47"/>
        <v>233.42109013181332</v>
      </c>
      <c r="I68" s="11">
        <f t="shared" si="36"/>
        <v>592.5789098681867</v>
      </c>
      <c r="J68" s="22">
        <f t="shared" si="37"/>
        <v>28.25921188036481</v>
      </c>
      <c r="K68" s="22">
        <f t="shared" si="38"/>
        <v>68.50220735085574</v>
      </c>
      <c r="L68" s="22">
        <f t="shared" si="39"/>
        <v>68.50220735085574</v>
      </c>
      <c r="M68" s="11">
        <f t="shared" si="40"/>
        <v>15989.859916272262</v>
      </c>
      <c r="N68" s="11">
        <f t="shared" si="41"/>
        <v>40592.96335553458</v>
      </c>
      <c r="O68" s="65">
        <f t="shared" si="42"/>
        <v>94.61455571758735</v>
      </c>
      <c r="P68" s="66">
        <v>1.25</v>
      </c>
      <c r="Q68" s="22">
        <f t="shared" si="48"/>
        <v>85.62775918856968</v>
      </c>
      <c r="R68" s="22">
        <f t="shared" si="43"/>
        <v>61.756329439073056</v>
      </c>
      <c r="S68" s="11">
        <f t="shared" si="44"/>
        <v>19987.32489534033</v>
      </c>
      <c r="T68" s="11">
        <f t="shared" si="45"/>
        <v>36595.498376466516</v>
      </c>
      <c r="U68" s="17">
        <f t="shared" si="49"/>
        <v>0.7212185630488485</v>
      </c>
      <c r="V68" s="65">
        <f t="shared" si="46"/>
        <v>118.26819464698421</v>
      </c>
    </row>
    <row r="69" spans="1:22" ht="12.75">
      <c r="A69" t="s">
        <v>389</v>
      </c>
      <c r="B69" s="11">
        <v>884</v>
      </c>
      <c r="C69" s="11"/>
      <c r="D69" s="11">
        <v>44866.17672819315</v>
      </c>
      <c r="E69" s="12">
        <f t="shared" si="34"/>
        <v>9.019541672585685</v>
      </c>
      <c r="F69" s="22">
        <f t="shared" si="35"/>
        <v>50.753593583928904</v>
      </c>
      <c r="G69" s="13">
        <v>157</v>
      </c>
      <c r="H69" s="10">
        <f t="shared" si="47"/>
        <v>216.84681154257214</v>
      </c>
      <c r="I69" s="11">
        <f t="shared" si="36"/>
        <v>667.1531884574279</v>
      </c>
      <c r="J69" s="22">
        <f t="shared" si="37"/>
        <v>24.530182301195943</v>
      </c>
      <c r="K69" s="22">
        <f t="shared" si="38"/>
        <v>50.753593583928904</v>
      </c>
      <c r="L69" s="22">
        <f t="shared" si="39"/>
        <v>50.753593583928904</v>
      </c>
      <c r="M69" s="11">
        <f t="shared" si="40"/>
        <v>11005.75494300253</v>
      </c>
      <c r="N69" s="11">
        <f t="shared" si="41"/>
        <v>33860.42178519062</v>
      </c>
      <c r="O69" s="65">
        <f t="shared" si="42"/>
        <v>70.10034995543013</v>
      </c>
      <c r="P69" s="66">
        <v>1.25</v>
      </c>
      <c r="Q69" s="22">
        <f t="shared" si="48"/>
        <v>63.44199197991113</v>
      </c>
      <c r="R69" s="22">
        <f t="shared" si="43"/>
        <v>46.6294452123796</v>
      </c>
      <c r="S69" s="11">
        <f t="shared" si="44"/>
        <v>13757.193678753161</v>
      </c>
      <c r="T69" s="11">
        <f t="shared" si="45"/>
        <v>31108.983049439994</v>
      </c>
      <c r="U69" s="17">
        <f t="shared" si="49"/>
        <v>0.7349933972304147</v>
      </c>
      <c r="V69" s="65">
        <f t="shared" si="46"/>
        <v>87.62543744428766</v>
      </c>
    </row>
    <row r="70" spans="1:22" ht="12.75">
      <c r="A70" t="s">
        <v>390</v>
      </c>
      <c r="B70" s="11">
        <v>914</v>
      </c>
      <c r="C70" s="11">
        <v>71157</v>
      </c>
      <c r="D70" s="11">
        <v>36997.43744965635</v>
      </c>
      <c r="E70" s="12">
        <f t="shared" si="34"/>
        <v>7.4376725005490885</v>
      </c>
      <c r="F70" s="22">
        <f t="shared" si="35"/>
        <v>40.478596772052896</v>
      </c>
      <c r="G70" s="13">
        <v>207</v>
      </c>
      <c r="H70" s="10">
        <f t="shared" si="47"/>
        <v>285.9063056644104</v>
      </c>
      <c r="I70" s="11">
        <f t="shared" si="36"/>
        <v>628.0936943355896</v>
      </c>
      <c r="J70" s="22">
        <f t="shared" si="37"/>
        <v>31.280777424990195</v>
      </c>
      <c r="K70" s="22">
        <f t="shared" si="38"/>
        <v>40.478596772052896</v>
      </c>
      <c r="L70" s="22">
        <f t="shared" si="39"/>
        <v>40.478596772052896</v>
      </c>
      <c r="M70" s="11">
        <f t="shared" si="40"/>
        <v>11573.086061576972</v>
      </c>
      <c r="N70" s="11">
        <f t="shared" si="41"/>
        <v>25424.351388079376</v>
      </c>
      <c r="O70" s="65">
        <f t="shared" si="42"/>
        <v>55.90862831679697</v>
      </c>
      <c r="P70" s="66">
        <v>1.25</v>
      </c>
      <c r="Q70" s="22">
        <f t="shared" si="48"/>
        <v>50.59824596506612</v>
      </c>
      <c r="R70" s="22">
        <f t="shared" si="43"/>
        <v>35.87216378046745</v>
      </c>
      <c r="S70" s="11">
        <f t="shared" si="44"/>
        <v>14466.357576971215</v>
      </c>
      <c r="T70" s="11">
        <f t="shared" si="45"/>
        <v>22531.07987268513</v>
      </c>
      <c r="U70" s="17">
        <f t="shared" si="49"/>
        <v>0.7089606190150188</v>
      </c>
      <c r="V70" s="65">
        <f t="shared" si="46"/>
        <v>69.88578539599621</v>
      </c>
    </row>
    <row r="71" spans="1:22" ht="12.75">
      <c r="A71" t="s">
        <v>391</v>
      </c>
      <c r="B71" s="11">
        <v>998</v>
      </c>
      <c r="C71" s="11"/>
      <c r="D71" s="11">
        <v>34159.562550343646</v>
      </c>
      <c r="E71" s="12">
        <f t="shared" si="34"/>
        <v>6.867168553421998</v>
      </c>
      <c r="F71" s="22">
        <f t="shared" si="35"/>
        <v>34.22801858751868</v>
      </c>
      <c r="G71" s="13">
        <v>235</v>
      </c>
      <c r="H71" s="10">
        <f t="shared" si="47"/>
        <v>324.57962237263985</v>
      </c>
      <c r="I71" s="11">
        <f t="shared" si="36"/>
        <v>673.4203776273602</v>
      </c>
      <c r="J71" s="22">
        <f t="shared" si="37"/>
        <v>32.52300825377153</v>
      </c>
      <c r="K71" s="22">
        <f t="shared" si="38"/>
        <v>34.22801858751868</v>
      </c>
      <c r="L71" s="22">
        <f t="shared" si="39"/>
        <v>34.22801858751868</v>
      </c>
      <c r="M71" s="11">
        <f t="shared" si="40"/>
        <v>11109.71734770051</v>
      </c>
      <c r="N71" s="11">
        <f t="shared" si="41"/>
        <v>23049.845202643133</v>
      </c>
      <c r="O71" s="65">
        <f t="shared" si="42"/>
        <v>47.27539296893834</v>
      </c>
      <c r="P71" s="66">
        <v>1.2</v>
      </c>
      <c r="Q71" s="22">
        <f t="shared" si="48"/>
        <v>41.07362230502242</v>
      </c>
      <c r="R71" s="22">
        <f t="shared" si="43"/>
        <v>30.92852908087708</v>
      </c>
      <c r="S71" s="11">
        <f t="shared" si="44"/>
        <v>13331.660817240614</v>
      </c>
      <c r="T71" s="11">
        <f t="shared" si="45"/>
        <v>20827.901733103034</v>
      </c>
      <c r="U71" s="17">
        <f t="shared" si="49"/>
        <v>0.7530022273466538</v>
      </c>
      <c r="V71" s="65">
        <f t="shared" si="46"/>
        <v>56.73047156272602</v>
      </c>
    </row>
    <row r="72" spans="1:22" ht="12.75">
      <c r="A72" t="s">
        <v>392</v>
      </c>
      <c r="B72" s="11">
        <v>1168</v>
      </c>
      <c r="C72" s="11">
        <v>47041</v>
      </c>
      <c r="D72" s="11">
        <v>27905.895285286966</v>
      </c>
      <c r="E72" s="12">
        <f t="shared" si="34"/>
        <v>5.609980697960723</v>
      </c>
      <c r="F72" s="22">
        <f t="shared" si="35"/>
        <v>23.8920336346635</v>
      </c>
      <c r="G72" s="13">
        <v>259</v>
      </c>
      <c r="H72" s="10">
        <f t="shared" si="47"/>
        <v>357.7281795511222</v>
      </c>
      <c r="I72" s="11">
        <f t="shared" si="36"/>
        <v>810.2718204488779</v>
      </c>
      <c r="J72" s="22">
        <f t="shared" si="37"/>
        <v>30.627412632801562</v>
      </c>
      <c r="K72" s="22">
        <f t="shared" si="38"/>
        <v>23.8920336346635</v>
      </c>
      <c r="L72" s="22">
        <f t="shared" si="39"/>
        <v>23.8920336346635</v>
      </c>
      <c r="M72" s="11">
        <f t="shared" si="40"/>
        <v>8546.853697902354</v>
      </c>
      <c r="N72" s="11">
        <f t="shared" si="41"/>
        <v>19359.041587384614</v>
      </c>
      <c r="O72" s="65">
        <f t="shared" si="42"/>
        <v>32.999435127036115</v>
      </c>
      <c r="P72" s="66">
        <v>1.15</v>
      </c>
      <c r="Q72" s="22">
        <f t="shared" si="48"/>
        <v>27.47583867986302</v>
      </c>
      <c r="R72" s="22">
        <f t="shared" si="43"/>
        <v>22.309813912428645</v>
      </c>
      <c r="S72" s="11">
        <f t="shared" si="44"/>
        <v>9828.881752587708</v>
      </c>
      <c r="T72" s="11">
        <f t="shared" si="45"/>
        <v>18077.01353269926</v>
      </c>
      <c r="U72" s="17">
        <f t="shared" si="49"/>
        <v>0.8119793602070992</v>
      </c>
      <c r="V72" s="65">
        <f t="shared" si="46"/>
        <v>37.94935039609153</v>
      </c>
    </row>
    <row r="73" spans="1:22" ht="12.75">
      <c r="A73" t="s">
        <v>393</v>
      </c>
      <c r="B73" s="11">
        <v>1294</v>
      </c>
      <c r="C73" s="11"/>
      <c r="D73" s="11">
        <v>19135.104714713034</v>
      </c>
      <c r="E73" s="12">
        <f t="shared" si="34"/>
        <v>3.8467702614649677</v>
      </c>
      <c r="F73" s="22">
        <f t="shared" si="35"/>
        <v>14.787561603333103</v>
      </c>
      <c r="G73" s="13">
        <v>292</v>
      </c>
      <c r="H73" s="10">
        <f t="shared" si="47"/>
        <v>403.30744567153545</v>
      </c>
      <c r="I73" s="11">
        <f t="shared" si="36"/>
        <v>890.6925543284646</v>
      </c>
      <c r="J73" s="22">
        <f t="shared" si="37"/>
        <v>31.16749966549733</v>
      </c>
      <c r="K73" s="22">
        <f t="shared" si="38"/>
        <v>14.787561603333103</v>
      </c>
      <c r="L73" s="22">
        <f t="shared" si="39"/>
        <v>14.787561603333103</v>
      </c>
      <c r="M73" s="11">
        <f t="shared" si="40"/>
        <v>5963.933697950749</v>
      </c>
      <c r="N73" s="11">
        <f t="shared" si="41"/>
        <v>13171.171016762286</v>
      </c>
      <c r="O73" s="65">
        <f t="shared" si="42"/>
        <v>20.42443047243407</v>
      </c>
      <c r="P73" s="66">
        <v>1.1</v>
      </c>
      <c r="Q73" s="22">
        <f t="shared" si="48"/>
        <v>16.266317763666414</v>
      </c>
      <c r="R73" s="22">
        <f t="shared" si="43"/>
        <v>14.117977730764721</v>
      </c>
      <c r="S73" s="11">
        <f t="shared" si="44"/>
        <v>6560.327067745824</v>
      </c>
      <c r="T73" s="11">
        <f t="shared" si="45"/>
        <v>12574.77764696721</v>
      </c>
      <c r="U73" s="17">
        <f t="shared" si="49"/>
        <v>0.8679270831841011</v>
      </c>
      <c r="V73" s="65">
        <f t="shared" si="46"/>
        <v>22.46687351967748</v>
      </c>
    </row>
    <row r="74" spans="1:22" ht="12.75">
      <c r="A74" t="s">
        <v>394</v>
      </c>
      <c r="B74" s="11">
        <v>1428</v>
      </c>
      <c r="C74" s="11">
        <v>20188</v>
      </c>
      <c r="D74" s="11">
        <v>13356.248465829847</v>
      </c>
      <c r="E74" s="12">
        <f t="shared" si="34"/>
        <v>2.68503466111614</v>
      </c>
      <c r="F74" s="22">
        <f t="shared" si="35"/>
        <v>9.353115172149753</v>
      </c>
      <c r="G74" s="13">
        <v>346</v>
      </c>
      <c r="H74" s="10">
        <f t="shared" si="47"/>
        <v>477.89169932312075</v>
      </c>
      <c r="I74" s="11">
        <f t="shared" si="36"/>
        <v>950.1083006768793</v>
      </c>
      <c r="J74" s="22">
        <f t="shared" si="37"/>
        <v>33.465805274728346</v>
      </c>
      <c r="K74" s="22">
        <f t="shared" si="38"/>
        <v>9.353115172149753</v>
      </c>
      <c r="L74" s="22">
        <f t="shared" si="39"/>
        <v>9.353115172149753</v>
      </c>
      <c r="M74" s="11">
        <f t="shared" si="40"/>
        <v>4469.776103583508</v>
      </c>
      <c r="N74" s="11">
        <f t="shared" si="41"/>
        <v>8886.472362246339</v>
      </c>
      <c r="O74" s="65">
        <f t="shared" si="42"/>
        <v>12.918428045039041</v>
      </c>
      <c r="P74" s="66">
        <v>1.05</v>
      </c>
      <c r="Q74" s="22">
        <f t="shared" si="48"/>
        <v>9.820770930757242</v>
      </c>
      <c r="R74" s="22">
        <f t="shared" si="43"/>
        <v>9.11789061404416</v>
      </c>
      <c r="S74" s="11">
        <f t="shared" si="44"/>
        <v>4693.264908762684</v>
      </c>
      <c r="T74" s="11">
        <f t="shared" si="45"/>
        <v>8662.983557067164</v>
      </c>
      <c r="U74" s="17">
        <f t="shared" si="49"/>
        <v>0.9284292117524338</v>
      </c>
      <c r="V74" s="65">
        <f t="shared" si="46"/>
        <v>13.564349447290995</v>
      </c>
    </row>
    <row r="75" spans="1:22" ht="12.75">
      <c r="A75" t="s">
        <v>395</v>
      </c>
      <c r="B75" s="11">
        <v>1068</v>
      </c>
      <c r="C75" s="11"/>
      <c r="D75" s="11">
        <v>6831.751534170154</v>
      </c>
      <c r="E75" s="12">
        <f t="shared" si="34"/>
        <v>1.3734013493616535</v>
      </c>
      <c r="F75" s="22">
        <f t="shared" si="35"/>
        <v>6.396771099410256</v>
      </c>
      <c r="G75" s="13">
        <v>280</v>
      </c>
      <c r="H75" s="10">
        <f t="shared" si="47"/>
        <v>386.73316708229424</v>
      </c>
      <c r="I75" s="11">
        <f t="shared" si="36"/>
        <v>681.2668329177058</v>
      </c>
      <c r="J75" s="22">
        <f t="shared" si="37"/>
        <v>36.21097070058935</v>
      </c>
      <c r="K75" s="22">
        <f t="shared" si="38"/>
        <v>6.396771099410256</v>
      </c>
      <c r="L75" s="22">
        <f t="shared" si="39"/>
        <v>6.396771099410256</v>
      </c>
      <c r="M75" s="11">
        <f t="shared" si="40"/>
        <v>2473.8435463754176</v>
      </c>
      <c r="N75" s="11">
        <f t="shared" si="41"/>
        <v>4357.907987794736</v>
      </c>
      <c r="O75" s="65">
        <f t="shared" si="42"/>
        <v>8.835155522769348</v>
      </c>
      <c r="P75" s="66">
        <v>1</v>
      </c>
      <c r="Q75" s="22">
        <f t="shared" si="48"/>
        <v>6.396771099410256</v>
      </c>
      <c r="R75" s="22">
        <f t="shared" si="43"/>
        <v>6.396771099410256</v>
      </c>
      <c r="S75" s="11">
        <f t="shared" si="44"/>
        <v>2473.8435463754176</v>
      </c>
      <c r="T75" s="11">
        <f t="shared" si="45"/>
        <v>4357.907987794736</v>
      </c>
      <c r="U75" s="17">
        <f t="shared" si="49"/>
        <v>1</v>
      </c>
      <c r="V75" s="65">
        <f t="shared" si="46"/>
        <v>8.835155522769348</v>
      </c>
    </row>
    <row r="76" spans="1:22" ht="12.75">
      <c r="A76" t="s">
        <v>396</v>
      </c>
      <c r="B76" s="11">
        <v>889</v>
      </c>
      <c r="C76" s="11">
        <v>4553</v>
      </c>
      <c r="D76" s="11">
        <v>4553</v>
      </c>
      <c r="E76" s="12">
        <f t="shared" si="34"/>
        <v>0.9152991458146122</v>
      </c>
      <c r="F76" s="22">
        <f t="shared" si="35"/>
        <v>5.1214848143982</v>
      </c>
      <c r="G76" s="13">
        <v>288</v>
      </c>
      <c r="H76" s="10">
        <f t="shared" si="47"/>
        <v>397.78268614178836</v>
      </c>
      <c r="I76" s="11">
        <f t="shared" si="36"/>
        <v>491.21731385821164</v>
      </c>
      <c r="J76" s="22">
        <f t="shared" si="37"/>
        <v>44.744959071067306</v>
      </c>
      <c r="K76" s="22">
        <f t="shared" si="38"/>
        <v>5.1214848143982</v>
      </c>
      <c r="L76" s="22">
        <f t="shared" si="39"/>
        <v>5.1214848143982</v>
      </c>
      <c r="M76" s="11">
        <f t="shared" si="40"/>
        <v>2037.2379865056944</v>
      </c>
      <c r="N76" s="11">
        <f t="shared" si="41"/>
        <v>2515.7620134943054</v>
      </c>
      <c r="O76" s="65">
        <f t="shared" si="42"/>
        <v>7.073743008700328</v>
      </c>
      <c r="P76" s="66">
        <v>1</v>
      </c>
      <c r="Q76" s="22">
        <f t="shared" si="48"/>
        <v>5.1214848143982</v>
      </c>
      <c r="R76" s="22">
        <f t="shared" si="43"/>
        <v>5.1214848143982</v>
      </c>
      <c r="S76" s="11">
        <f t="shared" si="44"/>
        <v>2037.2379865056944</v>
      </c>
      <c r="T76" s="11">
        <f t="shared" si="45"/>
        <v>2515.7620134943054</v>
      </c>
      <c r="U76" s="17">
        <f t="shared" si="49"/>
        <v>1</v>
      </c>
      <c r="V76" s="65">
        <f t="shared" si="46"/>
        <v>7.073743008700328</v>
      </c>
    </row>
    <row r="77" spans="1:22" ht="12.75">
      <c r="A77" t="s">
        <v>18</v>
      </c>
      <c r="B77" s="11">
        <f>SUM(B64:B76)</f>
        <v>13834</v>
      </c>
      <c r="C77" s="11">
        <v>558621.5</v>
      </c>
      <c r="D77" s="11">
        <v>558621.5</v>
      </c>
      <c r="E77" s="12">
        <f t="shared" si="34"/>
        <v>112.300852577131</v>
      </c>
      <c r="F77" s="22">
        <f t="shared" si="35"/>
        <v>40.38033106838225</v>
      </c>
      <c r="G77" s="11">
        <f>SUM(G64:G76)</f>
        <v>2807</v>
      </c>
      <c r="H77" s="11">
        <v>3877</v>
      </c>
      <c r="I77" s="11">
        <f>SUM(I64:I76)</f>
        <v>9956.999999999998</v>
      </c>
      <c r="J77" s="22">
        <f t="shared" si="37"/>
        <v>28.025155414196906</v>
      </c>
      <c r="K77" s="22">
        <f>M77/H77</f>
        <v>34.24495250122066</v>
      </c>
      <c r="L77" s="65">
        <f>N77/I77</f>
        <v>42.76928986168199</v>
      </c>
      <c r="M77" s="11">
        <f>SUM(M64:M76)</f>
        <v>132767.6808472325</v>
      </c>
      <c r="N77" s="11">
        <f>SUM(N64:N76)</f>
        <v>425853.8191527675</v>
      </c>
      <c r="O77" s="65">
        <f t="shared" si="42"/>
        <v>47.29878191921357</v>
      </c>
      <c r="P77" s="65"/>
      <c r="Q77" s="22">
        <f>S77/H77</f>
        <v>40.915801034001525</v>
      </c>
      <c r="R77" s="65">
        <f t="shared" si="43"/>
        <v>40.17183282024467</v>
      </c>
      <c r="S77" s="11">
        <f>SUM(S64:S76)</f>
        <v>158630.5606088239</v>
      </c>
      <c r="T77" s="11">
        <f>SUM(T64:T76)</f>
        <v>399990.9393911761</v>
      </c>
      <c r="U77" s="11"/>
      <c r="V77" s="65">
        <f t="shared" si="46"/>
        <v>56.51249041995864</v>
      </c>
    </row>
    <row r="78" spans="2:24" ht="12.75">
      <c r="B78" s="11"/>
      <c r="C78" s="11"/>
      <c r="D78" s="11"/>
      <c r="E78" s="12"/>
      <c r="F78" s="22"/>
      <c r="G78" s="11"/>
      <c r="H78" s="11"/>
      <c r="I78" s="11"/>
      <c r="J78" s="22"/>
      <c r="K78" s="22"/>
      <c r="L78" s="65"/>
      <c r="M78" s="11"/>
      <c r="N78" s="11"/>
      <c r="O78" s="65"/>
      <c r="Q78" s="6"/>
      <c r="R78" s="6"/>
      <c r="S78" s="6"/>
      <c r="T78" s="6"/>
      <c r="U78" s="6"/>
      <c r="V78" s="6"/>
      <c r="W78" s="6"/>
      <c r="X78" s="6"/>
    </row>
    <row r="79" spans="2:24" ht="12.75">
      <c r="B79" s="11"/>
      <c r="C79" s="11"/>
      <c r="D79" s="11"/>
      <c r="E79" s="12"/>
      <c r="F79" s="22"/>
      <c r="G79" s="11"/>
      <c r="H79" s="11"/>
      <c r="I79" s="11"/>
      <c r="J79" s="22"/>
      <c r="K79" s="22"/>
      <c r="L79" s="65"/>
      <c r="M79" s="11"/>
      <c r="N79" s="11"/>
      <c r="O79" s="65"/>
      <c r="Q79" s="6"/>
      <c r="R79" s="6"/>
      <c r="S79" s="6"/>
      <c r="T79" s="6"/>
      <c r="U79" s="6"/>
      <c r="V79" s="6"/>
      <c r="W79" s="6"/>
      <c r="X79" s="6"/>
    </row>
    <row r="80" spans="2:24" ht="12.75">
      <c r="B80" s="11"/>
      <c r="C80" s="11"/>
      <c r="D80" s="11"/>
      <c r="E80" s="12"/>
      <c r="F80" s="22"/>
      <c r="G80" s="11"/>
      <c r="H80" s="11"/>
      <c r="I80" s="11"/>
      <c r="J80" s="22"/>
      <c r="K80" s="22"/>
      <c r="L80" s="65"/>
      <c r="M80" s="11"/>
      <c r="N80" s="11"/>
      <c r="O80" s="65"/>
      <c r="Q80" s="6"/>
      <c r="R80" s="6"/>
      <c r="S80" s="6"/>
      <c r="T80" s="6"/>
      <c r="U80" s="6"/>
      <c r="V80" s="6"/>
      <c r="W80" s="6"/>
      <c r="X80" s="6"/>
    </row>
    <row r="83" spans="2:20" ht="12.75">
      <c r="B83" s="21"/>
      <c r="C83" s="21"/>
      <c r="D83" s="21"/>
      <c r="E83" s="21"/>
      <c r="F83" s="21"/>
      <c r="K83" s="69" t="s">
        <v>411</v>
      </c>
      <c r="L83" s="69"/>
      <c r="M83" s="69"/>
      <c r="N83" s="69"/>
      <c r="O83" s="69"/>
      <c r="P83" s="69" t="s">
        <v>512</v>
      </c>
      <c r="Q83" s="69"/>
      <c r="R83" s="69"/>
      <c r="S83" s="69"/>
      <c r="T83" s="69"/>
    </row>
    <row r="84" spans="1:22" ht="12.75">
      <c r="A84" s="64">
        <v>1877</v>
      </c>
      <c r="B84" t="s">
        <v>383</v>
      </c>
      <c r="C84" t="s">
        <v>478</v>
      </c>
      <c r="D84" t="s">
        <v>420</v>
      </c>
      <c r="E84" t="s">
        <v>6</v>
      </c>
      <c r="F84" t="s">
        <v>398</v>
      </c>
      <c r="G84" t="s">
        <v>421</v>
      </c>
      <c r="H84" t="s">
        <v>479</v>
      </c>
      <c r="I84" t="s">
        <v>422</v>
      </c>
      <c r="J84" t="s">
        <v>403</v>
      </c>
      <c r="K84" t="s">
        <v>425</v>
      </c>
      <c r="L84" t="s">
        <v>426</v>
      </c>
      <c r="M84" t="s">
        <v>427</v>
      </c>
      <c r="N84" t="s">
        <v>428</v>
      </c>
      <c r="O84" t="s">
        <v>425</v>
      </c>
      <c r="P84" t="s">
        <v>514</v>
      </c>
      <c r="Q84" t="s">
        <v>406</v>
      </c>
      <c r="R84" t="s">
        <v>407</v>
      </c>
      <c r="S84" t="s">
        <v>404</v>
      </c>
      <c r="T84" t="s">
        <v>405</v>
      </c>
      <c r="U84" t="s">
        <v>513</v>
      </c>
      <c r="V84" t="s">
        <v>406</v>
      </c>
    </row>
    <row r="85" spans="1:22" ht="12.75">
      <c r="A85" t="s">
        <v>384</v>
      </c>
      <c r="B85" s="11">
        <v>2060</v>
      </c>
      <c r="C85" s="11">
        <v>222221</v>
      </c>
      <c r="D85" s="11">
        <f>C85</f>
        <v>222221</v>
      </c>
      <c r="E85" s="12">
        <f aca="true" t="shared" si="50" ref="E85:E97">100*D85/D$57</f>
        <v>44.67355402637139</v>
      </c>
      <c r="F85" s="22">
        <f aca="true" t="shared" si="51" ref="F85:F98">D85/B85</f>
        <v>107.8742718446602</v>
      </c>
      <c r="G85" s="13">
        <v>130</v>
      </c>
      <c r="H85" s="10">
        <f>G85*H$98/G$98</f>
        <v>196.52548588192153</v>
      </c>
      <c r="I85" s="11">
        <f aca="true" t="shared" si="52" ref="I85:I97">B85-H85</f>
        <v>1863.4745141180786</v>
      </c>
      <c r="J85" s="22">
        <f aca="true" t="shared" si="53" ref="J85:J98">100*H85/B85</f>
        <v>9.540072130190365</v>
      </c>
      <c r="K85" s="22">
        <f aca="true" t="shared" si="54" ref="K85:K97">F85</f>
        <v>107.8742718446602</v>
      </c>
      <c r="L85" s="22">
        <f aca="true" t="shared" si="55" ref="L85:L97">F85</f>
        <v>107.8742718446602</v>
      </c>
      <c r="M85" s="11">
        <f aca="true" t="shared" si="56" ref="M85:M97">H85*K85</f>
        <v>21200.043688430334</v>
      </c>
      <c r="N85" s="11">
        <f aca="true" t="shared" si="57" ref="N85:N97">I85*L85</f>
        <v>201020.9563115697</v>
      </c>
      <c r="O85" s="65">
        <f aca="true" t="shared" si="58" ref="O85:O98">K85*H85/G85</f>
        <v>163.0772591417718</v>
      </c>
      <c r="P85" s="66">
        <v>1.15</v>
      </c>
      <c r="Q85" s="22">
        <f>P85*K85</f>
        <v>124.05541262135922</v>
      </c>
      <c r="R85" s="22">
        <f aca="true" t="shared" si="59" ref="R85:R98">T85/I85</f>
        <v>106.16777866261121</v>
      </c>
      <c r="S85" s="11">
        <f aca="true" t="shared" si="60" ref="S85:S97">H85*Q85</f>
        <v>24380.05024169488</v>
      </c>
      <c r="T85" s="11">
        <f aca="true" t="shared" si="61" ref="T85:T97">D85-S85</f>
        <v>197840.94975830513</v>
      </c>
      <c r="U85" s="17">
        <f>R85/Q85</f>
        <v>0.8558093227794543</v>
      </c>
      <c r="V85" s="65">
        <f aca="true" t="shared" si="62" ref="V85:V98">Q85*H85/G85</f>
        <v>187.53884801303755</v>
      </c>
    </row>
    <row r="86" spans="1:22" ht="12.75">
      <c r="A86" t="s">
        <v>385</v>
      </c>
      <c r="B86" s="11">
        <v>2190</v>
      </c>
      <c r="C86" s="11">
        <v>200495</v>
      </c>
      <c r="D86" s="11">
        <f>C86</f>
        <v>200495</v>
      </c>
      <c r="E86" s="12">
        <f t="shared" si="50"/>
        <v>40.30593064794656</v>
      </c>
      <c r="F86" s="22">
        <f t="shared" si="51"/>
        <v>91.55022831050228</v>
      </c>
      <c r="G86" s="13">
        <v>218</v>
      </c>
      <c r="H86" s="10">
        <f aca="true" t="shared" si="63" ref="H86:H97">G86*H$98/G$98</f>
        <v>329.5581224789146</v>
      </c>
      <c r="I86" s="11">
        <f t="shared" si="52"/>
        <v>1860.4418775210854</v>
      </c>
      <c r="J86" s="22">
        <f t="shared" si="53"/>
        <v>15.048316094927607</v>
      </c>
      <c r="K86" s="22">
        <f t="shared" si="54"/>
        <v>91.55022831050228</v>
      </c>
      <c r="L86" s="22">
        <f t="shared" si="55"/>
        <v>91.55022831050228</v>
      </c>
      <c r="M86" s="11">
        <f t="shared" si="56"/>
        <v>30171.1213545251</v>
      </c>
      <c r="N86" s="11">
        <f t="shared" si="57"/>
        <v>170323.87864547488</v>
      </c>
      <c r="O86" s="65">
        <f t="shared" si="58"/>
        <v>138.39963924094084</v>
      </c>
      <c r="P86" s="66">
        <v>1.15</v>
      </c>
      <c r="Q86" s="22">
        <f aca="true" t="shared" si="64" ref="Q86:Q97">P86*K86</f>
        <v>105.2827625570776</v>
      </c>
      <c r="R86" s="22">
        <f t="shared" si="59"/>
        <v>89.1176512663815</v>
      </c>
      <c r="S86" s="11">
        <f t="shared" si="60"/>
        <v>34696.789557703865</v>
      </c>
      <c r="T86" s="11">
        <f t="shared" si="61"/>
        <v>165798.21044229614</v>
      </c>
      <c r="U86" s="17">
        <f aca="true" t="shared" si="65" ref="U86:U97">R86/Q86</f>
        <v>0.8464600386798132</v>
      </c>
      <c r="V86" s="65">
        <f t="shared" si="62"/>
        <v>159.15958512708195</v>
      </c>
    </row>
    <row r="87" spans="1:22" ht="12.75">
      <c r="A87" t="s">
        <v>386</v>
      </c>
      <c r="B87" s="11">
        <v>2248</v>
      </c>
      <c r="C87" s="11">
        <v>370795</v>
      </c>
      <c r="D87" s="11">
        <f>C87*C$127/(C$127+C$128)</f>
        <v>191962.37906834393</v>
      </c>
      <c r="E87" s="12">
        <f t="shared" si="50"/>
        <v>38.59059995383176</v>
      </c>
      <c r="F87" s="22">
        <f t="shared" si="51"/>
        <v>85.39251737915656</v>
      </c>
      <c r="G87" s="13">
        <v>318</v>
      </c>
      <c r="H87" s="10">
        <f t="shared" si="63"/>
        <v>480.7315731573157</v>
      </c>
      <c r="I87" s="11">
        <f t="shared" si="52"/>
        <v>1767.2684268426842</v>
      </c>
      <c r="J87" s="22">
        <f t="shared" si="53"/>
        <v>21.384856457175967</v>
      </c>
      <c r="K87" s="22">
        <f t="shared" si="54"/>
        <v>85.39251737915656</v>
      </c>
      <c r="L87" s="22">
        <f t="shared" si="55"/>
        <v>85.39251737915656</v>
      </c>
      <c r="M87" s="11">
        <f t="shared" si="56"/>
        <v>41050.879215545356</v>
      </c>
      <c r="N87" s="11">
        <f t="shared" si="57"/>
        <v>150911.4998527986</v>
      </c>
      <c r="O87" s="65">
        <f t="shared" si="58"/>
        <v>129.09081514322438</v>
      </c>
      <c r="P87" s="66">
        <v>1.2</v>
      </c>
      <c r="Q87" s="22">
        <f t="shared" si="64"/>
        <v>102.47102085498787</v>
      </c>
      <c r="R87" s="22">
        <f t="shared" si="59"/>
        <v>80.74683044308823</v>
      </c>
      <c r="S87" s="11">
        <f t="shared" si="60"/>
        <v>49261.05505865443</v>
      </c>
      <c r="T87" s="11">
        <f t="shared" si="61"/>
        <v>142701.3240096895</v>
      </c>
      <c r="U87" s="17">
        <f t="shared" si="65"/>
        <v>0.787996740633211</v>
      </c>
      <c r="V87" s="65">
        <f t="shared" si="62"/>
        <v>154.90897817186928</v>
      </c>
    </row>
    <row r="88" spans="1:22" ht="12.75">
      <c r="A88" t="s">
        <v>387</v>
      </c>
      <c r="B88" s="11">
        <v>2524</v>
      </c>
      <c r="C88" s="11"/>
      <c r="D88" s="11">
        <f>C87*C$128/(C$127+C$128)</f>
        <v>178832.62093165607</v>
      </c>
      <c r="E88" s="12">
        <f t="shared" si="50"/>
        <v>35.95109711893985</v>
      </c>
      <c r="F88" s="22">
        <f t="shared" si="51"/>
        <v>70.85286090794615</v>
      </c>
      <c r="G88" s="13">
        <v>383</v>
      </c>
      <c r="H88" s="10">
        <f t="shared" si="63"/>
        <v>578.9943160982765</v>
      </c>
      <c r="I88" s="11">
        <f t="shared" si="52"/>
        <v>1945.0056839017234</v>
      </c>
      <c r="J88" s="22">
        <f t="shared" si="53"/>
        <v>22.93955293574788</v>
      </c>
      <c r="K88" s="22">
        <f t="shared" si="54"/>
        <v>70.85286090794615</v>
      </c>
      <c r="L88" s="22">
        <f t="shared" si="55"/>
        <v>70.85286090794615</v>
      </c>
      <c r="M88" s="11">
        <f t="shared" si="56"/>
        <v>41023.40374500259</v>
      </c>
      <c r="N88" s="11">
        <f t="shared" si="57"/>
        <v>137809.2171866535</v>
      </c>
      <c r="O88" s="65">
        <f t="shared" si="58"/>
        <v>107.11071473891016</v>
      </c>
      <c r="P88" s="66">
        <v>1.25</v>
      </c>
      <c r="Q88" s="22">
        <f t="shared" si="64"/>
        <v>88.56607613493269</v>
      </c>
      <c r="R88" s="22">
        <f t="shared" si="59"/>
        <v>65.57994524444166</v>
      </c>
      <c r="S88" s="11">
        <f t="shared" si="60"/>
        <v>51279.25468125324</v>
      </c>
      <c r="T88" s="11">
        <f t="shared" si="61"/>
        <v>127553.36625040283</v>
      </c>
      <c r="U88" s="17">
        <f t="shared" si="65"/>
        <v>0.7404634833830612</v>
      </c>
      <c r="V88" s="65">
        <f t="shared" si="62"/>
        <v>133.8883934236377</v>
      </c>
    </row>
    <row r="89" spans="1:22" ht="12.75">
      <c r="A89" t="s">
        <v>388</v>
      </c>
      <c r="B89" s="11">
        <v>2362</v>
      </c>
      <c r="C89" s="11">
        <v>293041</v>
      </c>
      <c r="D89" s="11">
        <f>C89*C$129/(C$129+C$130)</f>
        <v>163442.5880431897</v>
      </c>
      <c r="E89" s="12">
        <f t="shared" si="50"/>
        <v>32.85720650684408</v>
      </c>
      <c r="F89" s="22">
        <f t="shared" si="51"/>
        <v>69.19669265164679</v>
      </c>
      <c r="G89" s="13">
        <v>439</v>
      </c>
      <c r="H89" s="10">
        <f t="shared" si="63"/>
        <v>663.6514484781811</v>
      </c>
      <c r="I89" s="11">
        <f t="shared" si="52"/>
        <v>1698.348551521819</v>
      </c>
      <c r="J89" s="22">
        <f t="shared" si="53"/>
        <v>28.097013060041537</v>
      </c>
      <c r="K89" s="22">
        <f t="shared" si="54"/>
        <v>69.19669265164679</v>
      </c>
      <c r="L89" s="22">
        <f t="shared" si="55"/>
        <v>69.19669265164679</v>
      </c>
      <c r="M89" s="11">
        <f t="shared" si="56"/>
        <v>45922.4853081649</v>
      </c>
      <c r="N89" s="11">
        <f t="shared" si="57"/>
        <v>117520.10273502482</v>
      </c>
      <c r="O89" s="65">
        <f t="shared" si="58"/>
        <v>104.60702803682209</v>
      </c>
      <c r="P89" s="66">
        <v>1.25</v>
      </c>
      <c r="Q89" s="22">
        <f t="shared" si="64"/>
        <v>86.49586581455848</v>
      </c>
      <c r="R89" s="22">
        <f t="shared" si="59"/>
        <v>62.43681917529003</v>
      </c>
      <c r="S89" s="11">
        <f t="shared" si="60"/>
        <v>57403.10663520613</v>
      </c>
      <c r="T89" s="11">
        <f t="shared" si="61"/>
        <v>106039.48140798356</v>
      </c>
      <c r="U89" s="17">
        <f t="shared" si="65"/>
        <v>0.7218474384561976</v>
      </c>
      <c r="V89" s="65">
        <f t="shared" si="62"/>
        <v>130.75878504602764</v>
      </c>
    </row>
    <row r="90" spans="1:22" ht="12.75">
      <c r="A90" t="s">
        <v>389</v>
      </c>
      <c r="B90" s="11">
        <v>2424</v>
      </c>
      <c r="C90" s="11"/>
      <c r="D90" s="11">
        <f>C89*C$130/(C$129+C$130)</f>
        <v>129598.41195681032</v>
      </c>
      <c r="E90" s="12">
        <f t="shared" si="50"/>
        <v>26.053440756204417</v>
      </c>
      <c r="F90" s="22">
        <f t="shared" si="51"/>
        <v>53.46469140132439</v>
      </c>
      <c r="G90" s="13">
        <v>481</v>
      </c>
      <c r="H90" s="10">
        <f t="shared" si="63"/>
        <v>727.1442977631096</v>
      </c>
      <c r="I90" s="11">
        <f t="shared" si="52"/>
        <v>1696.8557022368905</v>
      </c>
      <c r="J90" s="22">
        <f t="shared" si="53"/>
        <v>29.997702052933565</v>
      </c>
      <c r="K90" s="22">
        <f t="shared" si="54"/>
        <v>53.46469140132439</v>
      </c>
      <c r="L90" s="22">
        <f t="shared" si="55"/>
        <v>53.46469140132439</v>
      </c>
      <c r="M90" s="11">
        <f t="shared" si="56"/>
        <v>38876.54548413739</v>
      </c>
      <c r="N90" s="11">
        <f t="shared" si="57"/>
        <v>90721.86647267293</v>
      </c>
      <c r="O90" s="65">
        <f t="shared" si="58"/>
        <v>80.82441888594052</v>
      </c>
      <c r="P90" s="66">
        <v>1.25</v>
      </c>
      <c r="Q90" s="22">
        <f t="shared" si="64"/>
        <v>66.83086425165548</v>
      </c>
      <c r="R90" s="22">
        <f t="shared" si="59"/>
        <v>47.73695841953811</v>
      </c>
      <c r="S90" s="11">
        <f t="shared" si="60"/>
        <v>48595.68185517174</v>
      </c>
      <c r="T90" s="11">
        <f t="shared" si="61"/>
        <v>81002.73010163859</v>
      </c>
      <c r="U90" s="17">
        <f t="shared" si="65"/>
        <v>0.7142950933536013</v>
      </c>
      <c r="V90" s="65">
        <f t="shared" si="62"/>
        <v>101.03052360742565</v>
      </c>
    </row>
    <row r="91" spans="1:22" ht="12.75">
      <c r="A91" t="s">
        <v>390</v>
      </c>
      <c r="B91" s="11">
        <v>2514</v>
      </c>
      <c r="C91" s="11">
        <v>188345</v>
      </c>
      <c r="D91" s="11">
        <f>C91*(C$131/(C$131+C$132)-0.04)</f>
        <v>97928.276296858</v>
      </c>
      <c r="E91" s="12">
        <f t="shared" si="50"/>
        <v>19.686726915355035</v>
      </c>
      <c r="F91" s="22">
        <f t="shared" si="51"/>
        <v>38.95317275133572</v>
      </c>
      <c r="G91" s="13">
        <v>527</v>
      </c>
      <c r="H91" s="10">
        <f t="shared" si="63"/>
        <v>796.6840850751742</v>
      </c>
      <c r="I91" s="11">
        <f t="shared" si="52"/>
        <v>1717.3159149248258</v>
      </c>
      <c r="J91" s="22">
        <f t="shared" si="53"/>
        <v>31.689899963212977</v>
      </c>
      <c r="K91" s="22">
        <f t="shared" si="54"/>
        <v>38.95317275133572</v>
      </c>
      <c r="L91" s="22">
        <f t="shared" si="55"/>
        <v>38.95317275133572</v>
      </c>
      <c r="M91" s="11">
        <f t="shared" si="56"/>
        <v>31033.372794173105</v>
      </c>
      <c r="N91" s="11">
        <f t="shared" si="57"/>
        <v>66894.9035026849</v>
      </c>
      <c r="O91" s="65">
        <f t="shared" si="58"/>
        <v>58.886855396912914</v>
      </c>
      <c r="P91" s="66">
        <v>1.25</v>
      </c>
      <c r="Q91" s="22">
        <f t="shared" si="64"/>
        <v>48.69146593916965</v>
      </c>
      <c r="R91" s="22">
        <f t="shared" si="59"/>
        <v>34.43545814150932</v>
      </c>
      <c r="S91" s="11">
        <f t="shared" si="60"/>
        <v>38791.71599271638</v>
      </c>
      <c r="T91" s="11">
        <f t="shared" si="61"/>
        <v>59136.560304141625</v>
      </c>
      <c r="U91" s="17">
        <f t="shared" si="65"/>
        <v>0.707217527287628</v>
      </c>
      <c r="V91" s="65">
        <f t="shared" si="62"/>
        <v>73.60856924614114</v>
      </c>
    </row>
    <row r="92" spans="1:22" ht="12.75">
      <c r="A92" t="s">
        <v>391</v>
      </c>
      <c r="B92" s="11">
        <v>2196</v>
      </c>
      <c r="C92" s="11"/>
      <c r="D92" s="11">
        <f>C91*(C$132/(C$131+C$132)+0.04)</f>
        <v>90416.723703142</v>
      </c>
      <c r="E92" s="12">
        <f t="shared" si="50"/>
        <v>18.176663732229667</v>
      </c>
      <c r="F92" s="22">
        <f t="shared" si="51"/>
        <v>41.173371449518214</v>
      </c>
      <c r="G92" s="13">
        <v>485</v>
      </c>
      <c r="H92" s="10">
        <f t="shared" si="63"/>
        <v>733.1912357902457</v>
      </c>
      <c r="I92" s="11">
        <f t="shared" si="52"/>
        <v>1462.8087642097544</v>
      </c>
      <c r="J92" s="22">
        <f t="shared" si="53"/>
        <v>33.387579043271664</v>
      </c>
      <c r="K92" s="22">
        <f t="shared" si="54"/>
        <v>41.173371449518214</v>
      </c>
      <c r="L92" s="22">
        <f t="shared" si="55"/>
        <v>41.173371449518214</v>
      </c>
      <c r="M92" s="11">
        <f t="shared" si="56"/>
        <v>30187.955094723082</v>
      </c>
      <c r="N92" s="11">
        <f t="shared" si="57"/>
        <v>60228.76860841892</v>
      </c>
      <c r="O92" s="65">
        <f t="shared" si="58"/>
        <v>62.24320638087234</v>
      </c>
      <c r="P92" s="66">
        <v>1.2</v>
      </c>
      <c r="Q92" s="22">
        <f t="shared" si="64"/>
        <v>49.40804573942186</v>
      </c>
      <c r="R92" s="22">
        <f t="shared" si="59"/>
        <v>37.04597546539155</v>
      </c>
      <c r="S92" s="11">
        <f t="shared" si="60"/>
        <v>36225.5461136677</v>
      </c>
      <c r="T92" s="11">
        <f t="shared" si="61"/>
        <v>54191.1775894743</v>
      </c>
      <c r="U92" s="17">
        <f t="shared" si="65"/>
        <v>0.7497964129318554</v>
      </c>
      <c r="V92" s="65">
        <f t="shared" si="62"/>
        <v>74.6918476570468</v>
      </c>
    </row>
    <row r="93" spans="1:22" ht="12.75">
      <c r="A93" t="s">
        <v>392</v>
      </c>
      <c r="B93" s="11">
        <v>2335</v>
      </c>
      <c r="C93" s="11">
        <v>95783</v>
      </c>
      <c r="D93" s="11">
        <f>C93*C$133/(C$133+C$134)</f>
        <v>56820.86622543401</v>
      </c>
      <c r="E93" s="12">
        <f t="shared" si="50"/>
        <v>11.422817992661125</v>
      </c>
      <c r="F93" s="22">
        <f t="shared" si="51"/>
        <v>24.33441808369765</v>
      </c>
      <c r="G93" s="13">
        <v>524</v>
      </c>
      <c r="H93" s="10">
        <f t="shared" si="63"/>
        <v>792.1488815548222</v>
      </c>
      <c r="I93" s="11">
        <f t="shared" si="52"/>
        <v>1542.8511184451777</v>
      </c>
      <c r="J93" s="22">
        <f t="shared" si="53"/>
        <v>33.92500563403949</v>
      </c>
      <c r="K93" s="22">
        <f t="shared" si="54"/>
        <v>24.33441808369765</v>
      </c>
      <c r="L93" s="22">
        <f t="shared" si="55"/>
        <v>24.33441808369765</v>
      </c>
      <c r="M93" s="11">
        <f t="shared" si="56"/>
        <v>19276.482068288533</v>
      </c>
      <c r="N93" s="11">
        <f t="shared" si="57"/>
        <v>37544.384157145476</v>
      </c>
      <c r="O93" s="65">
        <f t="shared" si="58"/>
        <v>36.787179519634606</v>
      </c>
      <c r="P93" s="66">
        <v>1.15</v>
      </c>
      <c r="Q93" s="22">
        <f t="shared" si="64"/>
        <v>27.984580796252295</v>
      </c>
      <c r="R93" s="22">
        <f t="shared" si="59"/>
        <v>22.460308342534034</v>
      </c>
      <c r="S93" s="11">
        <f t="shared" si="60"/>
        <v>22167.954378531813</v>
      </c>
      <c r="T93" s="11">
        <f t="shared" si="61"/>
        <v>34652.91184690219</v>
      </c>
      <c r="U93" s="17">
        <f t="shared" si="65"/>
        <v>0.8025958475512317</v>
      </c>
      <c r="V93" s="65">
        <f t="shared" si="62"/>
        <v>42.305256447579794</v>
      </c>
    </row>
    <row r="94" spans="1:22" ht="12.75">
      <c r="A94" t="s">
        <v>393</v>
      </c>
      <c r="B94" s="11">
        <v>2292</v>
      </c>
      <c r="C94" s="11"/>
      <c r="D94" s="11">
        <f>C93*C$134/(C$133+C$134)</f>
        <v>38962.13377456599</v>
      </c>
      <c r="E94" s="12">
        <f t="shared" si="50"/>
        <v>7.832639526240919</v>
      </c>
      <c r="F94" s="22">
        <f t="shared" si="51"/>
        <v>16.99918576551745</v>
      </c>
      <c r="G94" s="13">
        <v>503</v>
      </c>
      <c r="H94" s="10">
        <f t="shared" si="63"/>
        <v>760.4024569123579</v>
      </c>
      <c r="I94" s="11">
        <f t="shared" si="52"/>
        <v>1531.597543087642</v>
      </c>
      <c r="J94" s="22">
        <f t="shared" si="53"/>
        <v>33.17637246563516</v>
      </c>
      <c r="K94" s="22">
        <f t="shared" si="54"/>
        <v>16.99918576551745</v>
      </c>
      <c r="L94" s="22">
        <f t="shared" si="55"/>
        <v>16.99918576551745</v>
      </c>
      <c r="M94" s="11">
        <f t="shared" si="56"/>
        <v>12926.222621609051</v>
      </c>
      <c r="N94" s="11">
        <f t="shared" si="57"/>
        <v>26035.91115295694</v>
      </c>
      <c r="O94" s="65">
        <f t="shared" si="58"/>
        <v>25.698255708964318</v>
      </c>
      <c r="P94" s="66">
        <v>1.1</v>
      </c>
      <c r="Q94" s="22">
        <f t="shared" si="64"/>
        <v>18.699104342069194</v>
      </c>
      <c r="R94" s="22">
        <f t="shared" si="59"/>
        <v>16.155215841437375</v>
      </c>
      <c r="S94" s="11">
        <f t="shared" si="60"/>
        <v>14218.844883769956</v>
      </c>
      <c r="T94" s="11">
        <f t="shared" si="61"/>
        <v>24743.288890796037</v>
      </c>
      <c r="U94" s="17">
        <f t="shared" si="65"/>
        <v>0.8639566658329947</v>
      </c>
      <c r="V94" s="65">
        <f t="shared" si="62"/>
        <v>28.26808127986075</v>
      </c>
    </row>
    <row r="95" spans="1:22" ht="12.75">
      <c r="A95" t="s">
        <v>394</v>
      </c>
      <c r="B95" s="11">
        <v>2010</v>
      </c>
      <c r="C95" s="11">
        <v>36858</v>
      </c>
      <c r="D95" s="11">
        <f>C95*C$135/(C$135+C$136)</f>
        <v>24385.01119246862</v>
      </c>
      <c r="E95" s="12">
        <f t="shared" si="50"/>
        <v>4.902169979166766</v>
      </c>
      <c r="F95" s="22">
        <f t="shared" si="51"/>
        <v>12.13184636441225</v>
      </c>
      <c r="G95" s="13">
        <v>491</v>
      </c>
      <c r="H95" s="10">
        <f t="shared" si="63"/>
        <v>742.2616428309498</v>
      </c>
      <c r="I95" s="11">
        <f t="shared" si="52"/>
        <v>1267.7383571690502</v>
      </c>
      <c r="J95" s="22">
        <f t="shared" si="53"/>
        <v>36.92843994183829</v>
      </c>
      <c r="K95" s="22">
        <f t="shared" si="54"/>
        <v>12.13184636441225</v>
      </c>
      <c r="L95" s="22">
        <f t="shared" si="55"/>
        <v>12.13184636441225</v>
      </c>
      <c r="M95" s="11">
        <f t="shared" si="56"/>
        <v>9005.00421302132</v>
      </c>
      <c r="N95" s="11">
        <f t="shared" si="57"/>
        <v>15380.0069794473</v>
      </c>
      <c r="O95" s="65">
        <f t="shared" si="58"/>
        <v>18.340130780084156</v>
      </c>
      <c r="P95" s="66">
        <v>1.05</v>
      </c>
      <c r="Q95" s="22">
        <f t="shared" si="64"/>
        <v>12.738438682632863</v>
      </c>
      <c r="R95" s="22">
        <f t="shared" si="59"/>
        <v>11.776686162699566</v>
      </c>
      <c r="S95" s="11">
        <f t="shared" si="60"/>
        <v>9455.254423672388</v>
      </c>
      <c r="T95" s="11">
        <f t="shared" si="61"/>
        <v>14929.756768796233</v>
      </c>
      <c r="U95" s="17">
        <f t="shared" si="65"/>
        <v>0.9244999686465095</v>
      </c>
      <c r="V95" s="65">
        <f t="shared" si="62"/>
        <v>19.257137319088365</v>
      </c>
    </row>
    <row r="96" spans="1:22" ht="12.75">
      <c r="A96" t="s">
        <v>395</v>
      </c>
      <c r="B96" s="11">
        <v>1837</v>
      </c>
      <c r="C96" s="11"/>
      <c r="D96" s="11">
        <f>C95*C$136/(C$135+C$136)</f>
        <v>12472.988807531381</v>
      </c>
      <c r="E96" s="12">
        <f t="shared" si="50"/>
        <v>2.507471118227255</v>
      </c>
      <c r="F96" s="22">
        <f t="shared" si="51"/>
        <v>6.789868703065531</v>
      </c>
      <c r="G96" s="13">
        <v>466</v>
      </c>
      <c r="H96" s="10">
        <f t="shared" si="63"/>
        <v>704.4682801613494</v>
      </c>
      <c r="I96" s="11">
        <f t="shared" si="52"/>
        <v>1132.5317198386506</v>
      </c>
      <c r="J96" s="22">
        <f t="shared" si="53"/>
        <v>38.34884486452637</v>
      </c>
      <c r="K96" s="22">
        <f t="shared" si="54"/>
        <v>6.789868703065531</v>
      </c>
      <c r="L96" s="22">
        <f t="shared" si="55"/>
        <v>6.789868703065531</v>
      </c>
      <c r="M96" s="11">
        <f t="shared" si="56"/>
        <v>4783.247127769947</v>
      </c>
      <c r="N96" s="11">
        <f t="shared" si="57"/>
        <v>7689.741679761434</v>
      </c>
      <c r="O96" s="65">
        <f t="shared" si="58"/>
        <v>10.264478814956968</v>
      </c>
      <c r="P96" s="66">
        <v>1</v>
      </c>
      <c r="Q96" s="22">
        <f t="shared" si="64"/>
        <v>6.789868703065531</v>
      </c>
      <c r="R96" s="22">
        <f t="shared" si="59"/>
        <v>6.789868703065531</v>
      </c>
      <c r="S96" s="11">
        <f t="shared" si="60"/>
        <v>4783.247127769947</v>
      </c>
      <c r="T96" s="11">
        <f t="shared" si="61"/>
        <v>7689.741679761434</v>
      </c>
      <c r="U96" s="17">
        <f t="shared" si="65"/>
        <v>1</v>
      </c>
      <c r="V96" s="65">
        <f t="shared" si="62"/>
        <v>10.264478814956968</v>
      </c>
    </row>
    <row r="97" spans="1:22" ht="12.75">
      <c r="A97" t="s">
        <v>396</v>
      </c>
      <c r="B97" s="11">
        <v>1779</v>
      </c>
      <c r="C97" s="11">
        <v>8093</v>
      </c>
      <c r="D97" s="11">
        <f>C97</f>
        <v>8093</v>
      </c>
      <c r="E97" s="12">
        <f t="shared" si="50"/>
        <v>1.626952775549672</v>
      </c>
      <c r="F97" s="22">
        <f t="shared" si="51"/>
        <v>4.5491849353569425</v>
      </c>
      <c r="G97" s="13">
        <v>489</v>
      </c>
      <c r="H97" s="10">
        <f t="shared" si="63"/>
        <v>739.2381738173817</v>
      </c>
      <c r="I97" s="11">
        <f t="shared" si="52"/>
        <v>1039.7618261826183</v>
      </c>
      <c r="J97" s="22">
        <f t="shared" si="53"/>
        <v>41.553579191533544</v>
      </c>
      <c r="K97" s="22">
        <f t="shared" si="54"/>
        <v>4.5491849353569425</v>
      </c>
      <c r="L97" s="22">
        <f t="shared" si="55"/>
        <v>4.5491849353569425</v>
      </c>
      <c r="M97" s="11">
        <f t="shared" si="56"/>
        <v>3362.93116397081</v>
      </c>
      <c r="N97" s="11">
        <f t="shared" si="57"/>
        <v>4730.068836029191</v>
      </c>
      <c r="O97" s="65">
        <f t="shared" si="58"/>
        <v>6.877159844521084</v>
      </c>
      <c r="P97" s="66">
        <v>1</v>
      </c>
      <c r="Q97" s="22">
        <f t="shared" si="64"/>
        <v>4.5491849353569425</v>
      </c>
      <c r="R97" s="22">
        <f t="shared" si="59"/>
        <v>4.549184935356942</v>
      </c>
      <c r="S97" s="11">
        <f t="shared" si="60"/>
        <v>3362.93116397081</v>
      </c>
      <c r="T97" s="11">
        <f t="shared" si="61"/>
        <v>4730.06883602919</v>
      </c>
      <c r="U97" s="17">
        <f t="shared" si="65"/>
        <v>0.9999999999999998</v>
      </c>
      <c r="V97" s="65">
        <f t="shared" si="62"/>
        <v>6.877159844521084</v>
      </c>
    </row>
    <row r="98" spans="1:22" ht="12.75">
      <c r="A98" t="s">
        <v>18</v>
      </c>
      <c r="B98" s="11">
        <f>SUM(B85:B97)</f>
        <v>28771</v>
      </c>
      <c r="C98" s="11">
        <f>SUM(C85:C97)</f>
        <v>1415631</v>
      </c>
      <c r="D98" s="11">
        <f>SUM(D85:D97)</f>
        <v>1415631</v>
      </c>
      <c r="E98" s="12">
        <f>100*D98/D98</f>
        <v>100</v>
      </c>
      <c r="F98" s="22">
        <f t="shared" si="51"/>
        <v>49.203399256195475</v>
      </c>
      <c r="G98" s="11">
        <f>SUM(G85:G97)</f>
        <v>5454</v>
      </c>
      <c r="H98" s="11">
        <v>8245</v>
      </c>
      <c r="I98" s="11">
        <f>SUM(I85:I97)</f>
        <v>20526.000000000004</v>
      </c>
      <c r="J98" s="22">
        <f t="shared" si="53"/>
        <v>28.65732856000834</v>
      </c>
      <c r="K98" s="22">
        <f>M98/H98</f>
        <v>39.88110295686615</v>
      </c>
      <c r="L98" s="65">
        <f>N98/I98</f>
        <v>52.94803206278077</v>
      </c>
      <c r="M98" s="11">
        <f>SUM(M85:M97)</f>
        <v>328819.69387936144</v>
      </c>
      <c r="N98" s="11">
        <f>SUM(N85:N97)</f>
        <v>1086811.3061206383</v>
      </c>
      <c r="O98" s="65">
        <f t="shared" si="58"/>
        <v>60.28963950850045</v>
      </c>
      <c r="P98" s="65"/>
      <c r="Q98" s="22">
        <f>S98/H98</f>
        <v>47.86190807929452</v>
      </c>
      <c r="R98" s="65">
        <f t="shared" si="59"/>
        <v>49.74225703430851</v>
      </c>
      <c r="S98" s="11">
        <f>SUM(S85:S97)</f>
        <v>394621.4321137833</v>
      </c>
      <c r="T98" s="11">
        <f>SUM(T85:T97)</f>
        <v>1021009.5678862167</v>
      </c>
      <c r="U98" s="11"/>
      <c r="V98" s="65">
        <f t="shared" si="62"/>
        <v>72.35449800399401</v>
      </c>
    </row>
    <row r="103" spans="2:20" ht="12.75">
      <c r="B103" s="21"/>
      <c r="C103" s="21"/>
      <c r="D103" s="21"/>
      <c r="E103" s="21"/>
      <c r="F103" s="21"/>
      <c r="K103" s="69" t="s">
        <v>411</v>
      </c>
      <c r="L103" s="69"/>
      <c r="M103" s="69"/>
      <c r="N103" s="69"/>
      <c r="O103" s="69"/>
      <c r="P103" s="69" t="s">
        <v>512</v>
      </c>
      <c r="Q103" s="69"/>
      <c r="R103" s="69"/>
      <c r="S103" s="69"/>
      <c r="T103" s="69"/>
    </row>
    <row r="104" spans="1:22" ht="12.75">
      <c r="A104" s="64">
        <v>1887</v>
      </c>
      <c r="B104" t="s">
        <v>383</v>
      </c>
      <c r="C104" t="s">
        <v>481</v>
      </c>
      <c r="D104" t="s">
        <v>420</v>
      </c>
      <c r="E104" t="s">
        <v>6</v>
      </c>
      <c r="F104" t="s">
        <v>398</v>
      </c>
      <c r="G104" t="s">
        <v>421</v>
      </c>
      <c r="H104" t="s">
        <v>515</v>
      </c>
      <c r="I104" t="s">
        <v>422</v>
      </c>
      <c r="J104" t="s">
        <v>403</v>
      </c>
      <c r="K104" t="s">
        <v>425</v>
      </c>
      <c r="L104" t="s">
        <v>426</v>
      </c>
      <c r="M104" t="s">
        <v>427</v>
      </c>
      <c r="N104" t="s">
        <v>428</v>
      </c>
      <c r="O104" t="s">
        <v>425</v>
      </c>
      <c r="P104" t="s">
        <v>514</v>
      </c>
      <c r="Q104" t="s">
        <v>406</v>
      </c>
      <c r="R104" t="s">
        <v>407</v>
      </c>
      <c r="S104" t="s">
        <v>404</v>
      </c>
      <c r="T104" t="s">
        <v>405</v>
      </c>
      <c r="U104" t="s">
        <v>513</v>
      </c>
      <c r="V104" t="s">
        <v>406</v>
      </c>
    </row>
    <row r="105" spans="1:22" ht="12.75">
      <c r="A105" t="s">
        <v>384</v>
      </c>
      <c r="B105" s="11">
        <v>2374</v>
      </c>
      <c r="C105" s="11">
        <v>222980</v>
      </c>
      <c r="D105" s="11">
        <f>C105</f>
        <v>222980</v>
      </c>
      <c r="E105" s="12">
        <f aca="true" t="shared" si="66" ref="E105:E117">100*D105/D$57</f>
        <v>44.82613738935696</v>
      </c>
      <c r="F105" s="22">
        <f aca="true" t="shared" si="67" ref="F105:F118">D105/B105</f>
        <v>93.92586352148273</v>
      </c>
      <c r="G105" s="13">
        <v>152</v>
      </c>
      <c r="H105" s="10">
        <f>G105*H$118/G$118</f>
        <v>238.28142469254112</v>
      </c>
      <c r="I105" s="11">
        <f aca="true" t="shared" si="68" ref="I105:I117">B105-H105</f>
        <v>2135.718575307459</v>
      </c>
      <c r="J105" s="22">
        <f aca="true" t="shared" si="69" ref="J105:J118">100*H105/B105</f>
        <v>10.037128251581345</v>
      </c>
      <c r="K105" s="22">
        <f aca="true" t="shared" si="70" ref="K105:K117">F105</f>
        <v>93.92586352148273</v>
      </c>
      <c r="L105" s="22">
        <f aca="true" t="shared" si="71" ref="L105:L117">F105</f>
        <v>93.92586352148273</v>
      </c>
      <c r="M105" s="11">
        <f aca="true" t="shared" si="72" ref="M105:M117">H105*K105</f>
        <v>22380.788575376082</v>
      </c>
      <c r="N105" s="11">
        <f aca="true" t="shared" si="73" ref="N105:N117">I105*L105</f>
        <v>200599.21142462394</v>
      </c>
      <c r="O105" s="65">
        <f aca="true" t="shared" si="74" ref="O105:O118">K105*H105/G105</f>
        <v>147.24203010115843</v>
      </c>
      <c r="P105" s="66">
        <v>1.15</v>
      </c>
      <c r="Q105" s="22">
        <f>P105*K105</f>
        <v>108.01474304970513</v>
      </c>
      <c r="R105" s="22">
        <f aca="true" t="shared" si="75" ref="R105:R118">T105/I105</f>
        <v>92.35397182885973</v>
      </c>
      <c r="S105" s="11">
        <f aca="true" t="shared" si="76" ref="S105:S117">H105*Q105</f>
        <v>25737.90686168249</v>
      </c>
      <c r="T105" s="11">
        <f aca="true" t="shared" si="77" ref="T105:T117">D105-S105</f>
        <v>197242.09313831752</v>
      </c>
      <c r="U105" s="17">
        <f>R105/Q105</f>
        <v>0.8550126512485542</v>
      </c>
      <c r="V105" s="65">
        <f aca="true" t="shared" si="78" ref="V105:V118">Q105*H105/G105</f>
        <v>169.32833461633217</v>
      </c>
    </row>
    <row r="106" spans="1:22" ht="12.75">
      <c r="A106" t="s">
        <v>385</v>
      </c>
      <c r="B106" s="11">
        <v>2649</v>
      </c>
      <c r="C106" s="11">
        <v>251672</v>
      </c>
      <c r="D106" s="11">
        <f>C106</f>
        <v>251672</v>
      </c>
      <c r="E106" s="12">
        <f t="shared" si="66"/>
        <v>50.59415036798926</v>
      </c>
      <c r="F106" s="22">
        <f t="shared" si="67"/>
        <v>95.0064175160438</v>
      </c>
      <c r="G106" s="13">
        <v>262</v>
      </c>
      <c r="H106" s="10">
        <f aca="true" t="shared" si="79" ref="H106:H117">G106*H$118/G$118</f>
        <v>410.7219294042485</v>
      </c>
      <c r="I106" s="11">
        <f t="shared" si="68"/>
        <v>2238.2780705957516</v>
      </c>
      <c r="J106" s="22">
        <f t="shared" si="69"/>
        <v>15.504791596989374</v>
      </c>
      <c r="K106" s="22">
        <f t="shared" si="70"/>
        <v>95.0064175160438</v>
      </c>
      <c r="L106" s="22">
        <f t="shared" si="71"/>
        <v>95.0064175160438</v>
      </c>
      <c r="M106" s="11">
        <f t="shared" si="72"/>
        <v>39021.2191079751</v>
      </c>
      <c r="N106" s="11">
        <f t="shared" si="73"/>
        <v>212650.78089202492</v>
      </c>
      <c r="O106" s="65">
        <f t="shared" si="74"/>
        <v>148.9359507937981</v>
      </c>
      <c r="P106" s="66">
        <v>1.15</v>
      </c>
      <c r="Q106" s="22">
        <f aca="true" t="shared" si="80" ref="Q106:Q117">P106*K106</f>
        <v>109.25738014345036</v>
      </c>
      <c r="R106" s="22">
        <f t="shared" si="75"/>
        <v>92.39137922250488</v>
      </c>
      <c r="S106" s="11">
        <f t="shared" si="76"/>
        <v>44874.401974171364</v>
      </c>
      <c r="T106" s="11">
        <f t="shared" si="77"/>
        <v>206797.59802582863</v>
      </c>
      <c r="U106" s="17">
        <f aca="true" t="shared" si="81" ref="U106:U117">R106/Q106</f>
        <v>0.8456305569582473</v>
      </c>
      <c r="V106" s="65">
        <f t="shared" si="78"/>
        <v>171.2763434128678</v>
      </c>
    </row>
    <row r="107" spans="1:22" ht="12.75">
      <c r="A107" t="s">
        <v>386</v>
      </c>
      <c r="B107" s="11">
        <v>2709</v>
      </c>
      <c r="C107" s="11">
        <v>433539</v>
      </c>
      <c r="D107" s="11">
        <f>C107*C$127/(C$127+C$128)</f>
        <v>224445.25373565112</v>
      </c>
      <c r="E107" s="12">
        <f t="shared" si="66"/>
        <v>45.12070042310243</v>
      </c>
      <c r="F107" s="22">
        <f t="shared" si="67"/>
        <v>82.8516994225364</v>
      </c>
      <c r="G107" s="13">
        <v>327</v>
      </c>
      <c r="H107" s="10">
        <f t="shared" si="79"/>
        <v>512.6185912793484</v>
      </c>
      <c r="I107" s="11">
        <f t="shared" si="68"/>
        <v>2196.3814087206515</v>
      </c>
      <c r="J107" s="22">
        <f t="shared" si="69"/>
        <v>18.92279775855845</v>
      </c>
      <c r="K107" s="22">
        <f t="shared" si="70"/>
        <v>82.8516994225364</v>
      </c>
      <c r="L107" s="22">
        <f t="shared" si="71"/>
        <v>82.8516994225364</v>
      </c>
      <c r="M107" s="11">
        <f t="shared" si="72"/>
        <v>42471.32144308061</v>
      </c>
      <c r="N107" s="11">
        <f t="shared" si="73"/>
        <v>181973.93229257048</v>
      </c>
      <c r="O107" s="65">
        <f t="shared" si="74"/>
        <v>129.88171695131686</v>
      </c>
      <c r="P107" s="66">
        <v>1.2</v>
      </c>
      <c r="Q107" s="22">
        <f t="shared" si="80"/>
        <v>99.42203930704368</v>
      </c>
      <c r="R107" s="22">
        <f t="shared" si="75"/>
        <v>78.9843090617867</v>
      </c>
      <c r="S107" s="11">
        <f t="shared" si="76"/>
        <v>50965.58573169673</v>
      </c>
      <c r="T107" s="11">
        <f t="shared" si="77"/>
        <v>173479.6680039544</v>
      </c>
      <c r="U107" s="17">
        <f t="shared" si="81"/>
        <v>0.7944346103972035</v>
      </c>
      <c r="V107" s="65">
        <f t="shared" si="78"/>
        <v>155.85806034158023</v>
      </c>
    </row>
    <row r="108" spans="1:22" ht="12.75">
      <c r="A108" t="s">
        <v>387</v>
      </c>
      <c r="B108" s="11">
        <v>2625</v>
      </c>
      <c r="C108" s="11"/>
      <c r="D108" s="11">
        <f>C107*C$128/(C$127+C$128)</f>
        <v>209093.74626434888</v>
      </c>
      <c r="E108" s="12">
        <f t="shared" si="66"/>
        <v>42.034554656476125</v>
      </c>
      <c r="F108" s="22">
        <f t="shared" si="67"/>
        <v>79.65476048165672</v>
      </c>
      <c r="G108" s="13">
        <v>367</v>
      </c>
      <c r="H108" s="10">
        <f t="shared" si="79"/>
        <v>575.3242293563328</v>
      </c>
      <c r="I108" s="11">
        <f t="shared" si="68"/>
        <v>2049.6757706436674</v>
      </c>
      <c r="J108" s="22">
        <f t="shared" si="69"/>
        <v>21.917113499288867</v>
      </c>
      <c r="K108" s="22">
        <f t="shared" si="70"/>
        <v>79.65476048165672</v>
      </c>
      <c r="L108" s="22">
        <f t="shared" si="71"/>
        <v>79.65476048165672</v>
      </c>
      <c r="M108" s="11">
        <f t="shared" si="72"/>
        <v>45827.313688672424</v>
      </c>
      <c r="N108" s="11">
        <f t="shared" si="73"/>
        <v>163266.4325756765</v>
      </c>
      <c r="O108" s="65">
        <f t="shared" si="74"/>
        <v>124.87006454679134</v>
      </c>
      <c r="P108" s="66">
        <v>1.25</v>
      </c>
      <c r="Q108" s="22">
        <f t="shared" si="80"/>
        <v>99.5684506020709</v>
      </c>
      <c r="R108" s="22">
        <f t="shared" si="75"/>
        <v>74.06517963855083</v>
      </c>
      <c r="S108" s="11">
        <f t="shared" si="76"/>
        <v>57284.14211084053</v>
      </c>
      <c r="T108" s="11">
        <f t="shared" si="77"/>
        <v>151809.60415350835</v>
      </c>
      <c r="U108" s="17">
        <f t="shared" si="81"/>
        <v>0.7438619280574641</v>
      </c>
      <c r="V108" s="65">
        <f t="shared" si="78"/>
        <v>156.08758068348916</v>
      </c>
    </row>
    <row r="109" spans="1:22" ht="12.75">
      <c r="A109" t="s">
        <v>388</v>
      </c>
      <c r="B109" s="11">
        <v>2855</v>
      </c>
      <c r="C109" s="11">
        <v>331431</v>
      </c>
      <c r="D109" s="11">
        <f>C109*C$129/(C$129+C$130)</f>
        <v>184854.47564587343</v>
      </c>
      <c r="E109" s="12">
        <f t="shared" si="66"/>
        <v>37.161683210778826</v>
      </c>
      <c r="F109" s="22">
        <f t="shared" si="67"/>
        <v>64.74762719645304</v>
      </c>
      <c r="G109" s="13">
        <v>441</v>
      </c>
      <c r="H109" s="10">
        <f t="shared" si="79"/>
        <v>691.3296597987542</v>
      </c>
      <c r="I109" s="11">
        <f t="shared" si="68"/>
        <v>2163.670340201246</v>
      </c>
      <c r="J109" s="22">
        <f t="shared" si="69"/>
        <v>24.214699117294366</v>
      </c>
      <c r="K109" s="22">
        <f t="shared" si="70"/>
        <v>64.74762719645304</v>
      </c>
      <c r="L109" s="22">
        <f t="shared" si="71"/>
        <v>64.74762719645304</v>
      </c>
      <c r="M109" s="11">
        <f t="shared" si="72"/>
        <v>44761.95508250044</v>
      </c>
      <c r="N109" s="11">
        <f t="shared" si="73"/>
        <v>140092.520563373</v>
      </c>
      <c r="O109" s="65">
        <f t="shared" si="74"/>
        <v>101.50103193310757</v>
      </c>
      <c r="P109" s="66">
        <v>1.25</v>
      </c>
      <c r="Q109" s="22">
        <f t="shared" si="80"/>
        <v>80.9345339955663</v>
      </c>
      <c r="R109" s="22">
        <f t="shared" si="75"/>
        <v>59.57563377273015</v>
      </c>
      <c r="S109" s="11">
        <f t="shared" si="76"/>
        <v>55952.44385312555</v>
      </c>
      <c r="T109" s="11">
        <f t="shared" si="77"/>
        <v>128902.03179274788</v>
      </c>
      <c r="U109" s="17">
        <f t="shared" si="81"/>
        <v>0.7360965811700823</v>
      </c>
      <c r="V109" s="65">
        <f t="shared" si="78"/>
        <v>126.87628991638447</v>
      </c>
    </row>
    <row r="110" spans="1:22" ht="12.75">
      <c r="A110" t="s">
        <v>389</v>
      </c>
      <c r="B110" s="11">
        <v>2924</v>
      </c>
      <c r="C110" s="11"/>
      <c r="D110" s="11">
        <f>C109*C$130/(C$129+C$130)</f>
        <v>146576.52435412657</v>
      </c>
      <c r="E110" s="12">
        <f t="shared" si="66"/>
        <v>29.466586325017957</v>
      </c>
      <c r="F110" s="22">
        <f t="shared" si="67"/>
        <v>50.12877029894889</v>
      </c>
      <c r="G110" s="13">
        <v>540</v>
      </c>
      <c r="H110" s="10">
        <f t="shared" si="79"/>
        <v>846.5261140392909</v>
      </c>
      <c r="I110" s="11">
        <f t="shared" si="68"/>
        <v>2077.473885960709</v>
      </c>
      <c r="J110" s="22">
        <f t="shared" si="69"/>
        <v>28.950961492451807</v>
      </c>
      <c r="K110" s="22">
        <f t="shared" si="70"/>
        <v>50.12877029894889</v>
      </c>
      <c r="L110" s="22">
        <f t="shared" si="71"/>
        <v>50.12877029894889</v>
      </c>
      <c r="M110" s="11">
        <f t="shared" si="72"/>
        <v>42435.313122737425</v>
      </c>
      <c r="N110" s="11">
        <f t="shared" si="73"/>
        <v>104141.21123138914</v>
      </c>
      <c r="O110" s="65">
        <f t="shared" si="74"/>
        <v>78.58391319025449</v>
      </c>
      <c r="P110" s="66">
        <v>1.25</v>
      </c>
      <c r="Q110" s="22">
        <f t="shared" si="80"/>
        <v>62.66096287368612</v>
      </c>
      <c r="R110" s="22">
        <f t="shared" si="75"/>
        <v>45.02217023414067</v>
      </c>
      <c r="S110" s="11">
        <f t="shared" si="76"/>
        <v>53044.14140342178</v>
      </c>
      <c r="T110" s="11">
        <f t="shared" si="77"/>
        <v>93532.38295070478</v>
      </c>
      <c r="U110" s="17">
        <f t="shared" si="81"/>
        <v>0.7185042835185558</v>
      </c>
      <c r="V110" s="65">
        <f t="shared" si="78"/>
        <v>98.22989148781811</v>
      </c>
    </row>
    <row r="111" spans="1:22" ht="12.75">
      <c r="A111" t="s">
        <v>390</v>
      </c>
      <c r="B111" s="11">
        <v>2851</v>
      </c>
      <c r="C111" s="11">
        <v>225768</v>
      </c>
      <c r="D111" s="11">
        <f>C111*(C$131/(C$131+C$132)-0.04)</f>
        <v>117386.02608505156</v>
      </c>
      <c r="E111" s="12">
        <f t="shared" si="66"/>
        <v>23.598359193107726</v>
      </c>
      <c r="F111" s="22">
        <f t="shared" si="67"/>
        <v>41.173632439513</v>
      </c>
      <c r="G111" s="13">
        <v>596</v>
      </c>
      <c r="H111" s="10">
        <f t="shared" si="79"/>
        <v>934.3140073470692</v>
      </c>
      <c r="I111" s="11">
        <f t="shared" si="68"/>
        <v>1916.685992652931</v>
      </c>
      <c r="J111" s="22">
        <f t="shared" si="69"/>
        <v>32.7714488722227</v>
      </c>
      <c r="K111" s="22">
        <f t="shared" si="70"/>
        <v>41.173632439513</v>
      </c>
      <c r="L111" s="22">
        <f t="shared" si="71"/>
        <v>41.173632439513</v>
      </c>
      <c r="M111" s="11">
        <f t="shared" si="72"/>
        <v>38469.101521596676</v>
      </c>
      <c r="N111" s="11">
        <f t="shared" si="73"/>
        <v>78916.9245634549</v>
      </c>
      <c r="O111" s="65">
        <f t="shared" si="74"/>
        <v>64.54547235167227</v>
      </c>
      <c r="P111" s="66">
        <v>1.25</v>
      </c>
      <c r="Q111" s="22">
        <f t="shared" si="80"/>
        <v>51.46704054939125</v>
      </c>
      <c r="R111" s="22">
        <f t="shared" si="75"/>
        <v>36.155974139058856</v>
      </c>
      <c r="S111" s="11">
        <f t="shared" si="76"/>
        <v>48086.37690199584</v>
      </c>
      <c r="T111" s="11">
        <f t="shared" si="77"/>
        <v>69299.64918305572</v>
      </c>
      <c r="U111" s="17">
        <f t="shared" si="81"/>
        <v>0.7025073474811737</v>
      </c>
      <c r="V111" s="65">
        <f t="shared" si="78"/>
        <v>80.68184043959033</v>
      </c>
    </row>
    <row r="112" spans="1:22" ht="12.75">
      <c r="A112" t="s">
        <v>391</v>
      </c>
      <c r="B112" s="11">
        <v>3047</v>
      </c>
      <c r="C112" s="11"/>
      <c r="D112" s="11">
        <f>C111*(C$132/(C$131+C$132)+0.04)</f>
        <v>108381.97391494842</v>
      </c>
      <c r="E112" s="12">
        <f t="shared" si="66"/>
        <v>21.788255687690288</v>
      </c>
      <c r="F112" s="22">
        <f t="shared" si="67"/>
        <v>35.570060359352944</v>
      </c>
      <c r="G112" s="13">
        <v>615</v>
      </c>
      <c r="H112" s="10">
        <f t="shared" si="79"/>
        <v>964.0991854336368</v>
      </c>
      <c r="I112" s="11">
        <f t="shared" si="68"/>
        <v>2082.9008145663634</v>
      </c>
      <c r="J112" s="22">
        <f t="shared" si="69"/>
        <v>31.640931586269666</v>
      </c>
      <c r="K112" s="22">
        <f t="shared" si="70"/>
        <v>35.570060359352944</v>
      </c>
      <c r="L112" s="22">
        <f t="shared" si="71"/>
        <v>35.570060359352944</v>
      </c>
      <c r="M112" s="11">
        <f t="shared" si="72"/>
        <v>34293.06621827747</v>
      </c>
      <c r="N112" s="11">
        <f t="shared" si="73"/>
        <v>74088.90769667095</v>
      </c>
      <c r="O112" s="65">
        <f t="shared" si="74"/>
        <v>55.76108328175198</v>
      </c>
      <c r="P112" s="66">
        <v>1.2</v>
      </c>
      <c r="Q112" s="22">
        <f t="shared" si="80"/>
        <v>42.684072431223534</v>
      </c>
      <c r="R112" s="22">
        <f t="shared" si="75"/>
        <v>32.277242383724385</v>
      </c>
      <c r="S112" s="11">
        <f t="shared" si="76"/>
        <v>41151.67946193296</v>
      </c>
      <c r="T112" s="11">
        <f t="shared" si="77"/>
        <v>67230.29445301546</v>
      </c>
      <c r="U112" s="17">
        <f t="shared" si="81"/>
        <v>0.756189382719571</v>
      </c>
      <c r="V112" s="65">
        <f t="shared" si="78"/>
        <v>66.91329993810237</v>
      </c>
    </row>
    <row r="113" spans="1:22" ht="12.75">
      <c r="A113" t="s">
        <v>392</v>
      </c>
      <c r="B113" s="11">
        <v>2949</v>
      </c>
      <c r="C113" s="11">
        <v>123844</v>
      </c>
      <c r="D113" s="11">
        <f>C113*C$133/(C$133+C$134)</f>
        <v>73467.35179335215</v>
      </c>
      <c r="E113" s="12">
        <f t="shared" si="66"/>
        <v>14.76929592394396</v>
      </c>
      <c r="F113" s="22">
        <f t="shared" si="67"/>
        <v>24.912632008596862</v>
      </c>
      <c r="G113" s="13">
        <v>663</v>
      </c>
      <c r="H113" s="10">
        <f t="shared" si="79"/>
        <v>1039.3459511260182</v>
      </c>
      <c r="I113" s="11">
        <f t="shared" si="68"/>
        <v>1909.6540488739818</v>
      </c>
      <c r="J113" s="22">
        <f t="shared" si="69"/>
        <v>35.24401326300502</v>
      </c>
      <c r="K113" s="22">
        <f t="shared" si="70"/>
        <v>24.912632008596862</v>
      </c>
      <c r="L113" s="22">
        <f t="shared" si="71"/>
        <v>24.912632008596862</v>
      </c>
      <c r="M113" s="11">
        <f t="shared" si="72"/>
        <v>25892.843210027593</v>
      </c>
      <c r="N113" s="11">
        <f t="shared" si="73"/>
        <v>47574.508583324554</v>
      </c>
      <c r="O113" s="65">
        <f t="shared" si="74"/>
        <v>39.054062156904365</v>
      </c>
      <c r="P113" s="66">
        <v>1.15</v>
      </c>
      <c r="Q113" s="22">
        <f t="shared" si="80"/>
        <v>28.64952680988639</v>
      </c>
      <c r="R113" s="22">
        <f t="shared" si="75"/>
        <v>22.878794265161464</v>
      </c>
      <c r="S113" s="11">
        <f t="shared" si="76"/>
        <v>29776.76969153173</v>
      </c>
      <c r="T113" s="11">
        <f t="shared" si="77"/>
        <v>43690.58210182042</v>
      </c>
      <c r="U113" s="17">
        <f t="shared" si="81"/>
        <v>0.7985749439068027</v>
      </c>
      <c r="V113" s="65">
        <f t="shared" si="78"/>
        <v>44.912171480440016</v>
      </c>
    </row>
    <row r="114" spans="1:22" ht="12.75">
      <c r="A114" t="s">
        <v>393</v>
      </c>
      <c r="B114" s="11">
        <v>2970</v>
      </c>
      <c r="C114" s="11"/>
      <c r="D114" s="11">
        <f>C113*C$134/(C$133+C$134)</f>
        <v>50376.64820664784</v>
      </c>
      <c r="E114" s="12">
        <f t="shared" si="66"/>
        <v>10.1273233192506</v>
      </c>
      <c r="F114" s="22">
        <f t="shared" si="67"/>
        <v>16.961834413012742</v>
      </c>
      <c r="G114" s="13">
        <v>601</v>
      </c>
      <c r="H114" s="10">
        <f t="shared" si="79"/>
        <v>942.1522121066922</v>
      </c>
      <c r="I114" s="11">
        <f t="shared" si="68"/>
        <v>2027.8477878933077</v>
      </c>
      <c r="J114" s="22">
        <f t="shared" si="69"/>
        <v>31.72229670392903</v>
      </c>
      <c r="K114" s="22">
        <f t="shared" si="70"/>
        <v>16.961834413012742</v>
      </c>
      <c r="L114" s="22">
        <f t="shared" si="71"/>
        <v>16.961834413012742</v>
      </c>
      <c r="M114" s="11">
        <f t="shared" si="72"/>
        <v>15980.629813607373</v>
      </c>
      <c r="N114" s="11">
        <f t="shared" si="73"/>
        <v>34396.01839304047</v>
      </c>
      <c r="O114" s="65">
        <f t="shared" si="74"/>
        <v>26.59006624560295</v>
      </c>
      <c r="P114" s="66">
        <v>1.1</v>
      </c>
      <c r="Q114" s="22">
        <f t="shared" si="80"/>
        <v>18.658017854314018</v>
      </c>
      <c r="R114" s="22">
        <f t="shared" si="75"/>
        <v>16.173775767338483</v>
      </c>
      <c r="S114" s="11">
        <f t="shared" si="76"/>
        <v>17578.692794968112</v>
      </c>
      <c r="T114" s="11">
        <f t="shared" si="77"/>
        <v>32797.95541167973</v>
      </c>
      <c r="U114" s="17">
        <f t="shared" si="81"/>
        <v>0.8668539120086038</v>
      </c>
      <c r="V114" s="65">
        <f t="shared" si="78"/>
        <v>29.24907287016325</v>
      </c>
    </row>
    <row r="115" spans="1:22" ht="12.75">
      <c r="A115" t="s">
        <v>394</v>
      </c>
      <c r="B115" s="11">
        <v>2599</v>
      </c>
      <c r="C115" s="11">
        <v>47841</v>
      </c>
      <c r="D115" s="11">
        <f>C115*C$135/(C$135+C$136)</f>
        <v>31651.29199790795</v>
      </c>
      <c r="E115" s="12">
        <f t="shared" si="66"/>
        <v>6.362925659919617</v>
      </c>
      <c r="F115" s="22">
        <f t="shared" si="67"/>
        <v>12.178257790653308</v>
      </c>
      <c r="G115" s="13">
        <v>620</v>
      </c>
      <c r="H115" s="10">
        <f t="shared" si="79"/>
        <v>971.9373901932598</v>
      </c>
      <c r="I115" s="11">
        <f t="shared" si="68"/>
        <v>1627.06260980674</v>
      </c>
      <c r="J115" s="22">
        <f t="shared" si="69"/>
        <v>37.39659061920969</v>
      </c>
      <c r="K115" s="22">
        <f t="shared" si="70"/>
        <v>12.178257790653308</v>
      </c>
      <c r="L115" s="22">
        <f t="shared" si="71"/>
        <v>12.178257790653308</v>
      </c>
      <c r="M115" s="11">
        <f t="shared" si="72"/>
        <v>11836.504094148311</v>
      </c>
      <c r="N115" s="11">
        <f t="shared" si="73"/>
        <v>19814.787903759636</v>
      </c>
      <c r="O115" s="65">
        <f t="shared" si="74"/>
        <v>19.09113563572308</v>
      </c>
      <c r="P115" s="66">
        <v>1.05</v>
      </c>
      <c r="Q115" s="22">
        <f t="shared" si="80"/>
        <v>12.787170680185975</v>
      </c>
      <c r="R115" s="22">
        <f t="shared" si="75"/>
        <v>11.814519357270152</v>
      </c>
      <c r="S115" s="11">
        <f t="shared" si="76"/>
        <v>12428.329298855728</v>
      </c>
      <c r="T115" s="11">
        <f t="shared" si="77"/>
        <v>19222.962699052223</v>
      </c>
      <c r="U115" s="17">
        <f t="shared" si="81"/>
        <v>0.9239353765393177</v>
      </c>
      <c r="V115" s="65">
        <f t="shared" si="78"/>
        <v>20.045692417509237</v>
      </c>
    </row>
    <row r="116" spans="1:22" ht="12.75">
      <c r="A116" t="s">
        <v>395</v>
      </c>
      <c r="B116" s="11">
        <v>1931</v>
      </c>
      <c r="C116" s="11"/>
      <c r="D116" s="11">
        <f>C115*C$136/(C$135+C$136)</f>
        <v>16189.70800209205</v>
      </c>
      <c r="E116" s="12">
        <f t="shared" si="66"/>
        <v>3.2546509785422457</v>
      </c>
      <c r="F116" s="22">
        <f t="shared" si="67"/>
        <v>8.384105645827058</v>
      </c>
      <c r="G116" s="13">
        <v>512</v>
      </c>
      <c r="H116" s="10">
        <f t="shared" si="79"/>
        <v>802.6321673854017</v>
      </c>
      <c r="I116" s="11">
        <f t="shared" si="68"/>
        <v>1128.3678326145982</v>
      </c>
      <c r="J116" s="22">
        <f t="shared" si="69"/>
        <v>41.56562234000009</v>
      </c>
      <c r="K116" s="22">
        <f t="shared" si="70"/>
        <v>8.384105645827058</v>
      </c>
      <c r="L116" s="22">
        <f t="shared" si="71"/>
        <v>8.384105645827058</v>
      </c>
      <c r="M116" s="11">
        <f t="shared" si="72"/>
        <v>6729.352886098354</v>
      </c>
      <c r="N116" s="11">
        <f t="shared" si="73"/>
        <v>9460.355115993692</v>
      </c>
      <c r="O116" s="65">
        <f t="shared" si="74"/>
        <v>13.143267355660848</v>
      </c>
      <c r="P116" s="66">
        <v>1</v>
      </c>
      <c r="Q116" s="22">
        <f t="shared" si="80"/>
        <v>8.384105645827058</v>
      </c>
      <c r="R116" s="22">
        <f t="shared" si="75"/>
        <v>8.384105645827058</v>
      </c>
      <c r="S116" s="11">
        <f t="shared" si="76"/>
        <v>6729.352886098354</v>
      </c>
      <c r="T116" s="11">
        <f t="shared" si="77"/>
        <v>9460.355115993694</v>
      </c>
      <c r="U116" s="17">
        <f t="shared" si="81"/>
        <v>1</v>
      </c>
      <c r="V116" s="65">
        <f t="shared" si="78"/>
        <v>13.143267355660848</v>
      </c>
    </row>
    <row r="117" spans="1:22" ht="12.75">
      <c r="A117" t="s">
        <v>396</v>
      </c>
      <c r="B117" s="11">
        <v>1743</v>
      </c>
      <c r="C117" s="11">
        <v>10041</v>
      </c>
      <c r="D117" s="11">
        <f>C117</f>
        <v>10041</v>
      </c>
      <c r="E117" s="12">
        <f t="shared" si="66"/>
        <v>2.01856330400275</v>
      </c>
      <c r="F117" s="22">
        <f t="shared" si="67"/>
        <v>5.760757314974183</v>
      </c>
      <c r="G117" s="13">
        <v>565</v>
      </c>
      <c r="H117" s="10">
        <f t="shared" si="79"/>
        <v>885.7171378374062</v>
      </c>
      <c r="I117" s="11">
        <f t="shared" si="68"/>
        <v>857.2828621625938</v>
      </c>
      <c r="J117" s="22">
        <f t="shared" si="69"/>
        <v>50.81567055865784</v>
      </c>
      <c r="K117" s="22">
        <f t="shared" si="70"/>
        <v>5.760757314974183</v>
      </c>
      <c r="L117" s="22">
        <f t="shared" si="71"/>
        <v>5.760757314974183</v>
      </c>
      <c r="M117" s="11">
        <f t="shared" si="72"/>
        <v>5102.401480794834</v>
      </c>
      <c r="N117" s="11">
        <f t="shared" si="73"/>
        <v>4938.598519205166</v>
      </c>
      <c r="O117" s="65">
        <f t="shared" si="74"/>
        <v>9.030799081052804</v>
      </c>
      <c r="P117" s="66">
        <v>1</v>
      </c>
      <c r="Q117" s="22">
        <f t="shared" si="80"/>
        <v>5.760757314974183</v>
      </c>
      <c r="R117" s="22">
        <f t="shared" si="75"/>
        <v>5.760757314974182</v>
      </c>
      <c r="S117" s="11">
        <f t="shared" si="76"/>
        <v>5102.401480794834</v>
      </c>
      <c r="T117" s="11">
        <f t="shared" si="77"/>
        <v>4938.598519205166</v>
      </c>
      <c r="U117" s="17">
        <f t="shared" si="81"/>
        <v>0.9999999999999999</v>
      </c>
      <c r="V117" s="65">
        <f t="shared" si="78"/>
        <v>9.030799081052804</v>
      </c>
    </row>
    <row r="118" spans="1:22" ht="12.75">
      <c r="A118" t="s">
        <v>18</v>
      </c>
      <c r="B118" s="11">
        <f>SUM(B105:B117)</f>
        <v>34226</v>
      </c>
      <c r="C118" s="11">
        <f>SUM(C105:C117)</f>
        <v>1647116</v>
      </c>
      <c r="D118" s="11">
        <f>SUM(D105:D117)</f>
        <v>1647116</v>
      </c>
      <c r="E118" s="12">
        <f>100*D118/D118</f>
        <v>100</v>
      </c>
      <c r="F118" s="22">
        <f t="shared" si="67"/>
        <v>48.12470052007246</v>
      </c>
      <c r="G118" s="11">
        <f>SUM(G105:G117)</f>
        <v>6261</v>
      </c>
      <c r="H118" s="11">
        <v>9815</v>
      </c>
      <c r="I118" s="11">
        <f>SUM(I105:I117)</f>
        <v>24411.000000000004</v>
      </c>
      <c r="J118" s="22">
        <f t="shared" si="69"/>
        <v>28.6770291591188</v>
      </c>
      <c r="K118" s="22">
        <f>M118/H118</f>
        <v>38.22738769688158</v>
      </c>
      <c r="L118" s="65">
        <f>N118/I118</f>
        <v>52.10414115583576</v>
      </c>
      <c r="M118" s="11">
        <f>SUM(M105:M117)</f>
        <v>375201.8102448927</v>
      </c>
      <c r="N118" s="11">
        <f>SUM(N105:N117)</f>
        <v>1271914.189755107</v>
      </c>
      <c r="O118" s="65">
        <f t="shared" si="74"/>
        <v>59.92681843873066</v>
      </c>
      <c r="P118" s="65"/>
      <c r="Q118" s="22">
        <f>S118/H118</f>
        <v>45.716986699043915</v>
      </c>
      <c r="R118" s="65">
        <f t="shared" si="75"/>
        <v>49.09277684440965</v>
      </c>
      <c r="S118" s="11">
        <f>SUM(S105:S117)</f>
        <v>448712.22445111605</v>
      </c>
      <c r="T118" s="11">
        <f>SUM(T105:T117)</f>
        <v>1198403.7755488842</v>
      </c>
      <c r="U118" s="11"/>
      <c r="V118" s="65">
        <f t="shared" si="78"/>
        <v>71.66782054801405</v>
      </c>
    </row>
    <row r="123" spans="2:20" ht="12.75">
      <c r="B123" s="21"/>
      <c r="C123" s="21"/>
      <c r="D123" s="21"/>
      <c r="E123" s="21"/>
      <c r="F123" s="21"/>
      <c r="K123" s="69" t="s">
        <v>411</v>
      </c>
      <c r="L123" s="69"/>
      <c r="M123" s="69"/>
      <c r="N123" s="69"/>
      <c r="O123" s="69"/>
      <c r="P123" s="69" t="s">
        <v>512</v>
      </c>
      <c r="Q123" s="69"/>
      <c r="R123" s="69"/>
      <c r="S123" s="69"/>
      <c r="T123" s="69"/>
    </row>
    <row r="124" spans="1:22" ht="12.75">
      <c r="A124" s="64">
        <v>1902</v>
      </c>
      <c r="B124" t="s">
        <v>383</v>
      </c>
      <c r="C124" t="s">
        <v>397</v>
      </c>
      <c r="D124" t="s">
        <v>397</v>
      </c>
      <c r="F124" t="s">
        <v>398</v>
      </c>
      <c r="G124" t="s">
        <v>401</v>
      </c>
      <c r="H124" t="s">
        <v>511</v>
      </c>
      <c r="I124" t="s">
        <v>402</v>
      </c>
      <c r="J124" t="s">
        <v>403</v>
      </c>
      <c r="K124" t="s">
        <v>406</v>
      </c>
      <c r="L124" t="s">
        <v>407</v>
      </c>
      <c r="M124" t="s">
        <v>404</v>
      </c>
      <c r="N124" t="s">
        <v>405</v>
      </c>
      <c r="O124" t="s">
        <v>406</v>
      </c>
      <c r="P124" t="s">
        <v>514</v>
      </c>
      <c r="Q124" t="s">
        <v>406</v>
      </c>
      <c r="R124" t="s">
        <v>407</v>
      </c>
      <c r="S124" t="s">
        <v>404</v>
      </c>
      <c r="T124" t="s">
        <v>405</v>
      </c>
      <c r="U124" t="s">
        <v>513</v>
      </c>
      <c r="V124" t="s">
        <v>406</v>
      </c>
    </row>
    <row r="125" spans="1:22" ht="12.75">
      <c r="A125" t="s">
        <v>384</v>
      </c>
      <c r="B125" s="11">
        <v>1810</v>
      </c>
      <c r="C125" s="11">
        <v>265609</v>
      </c>
      <c r="D125" s="11">
        <f aca="true" t="shared" si="82" ref="D125:D138">C125</f>
        <v>265609</v>
      </c>
      <c r="E125" s="12">
        <f aca="true" t="shared" si="83" ref="E125:E138">100*D125/D$138</f>
        <v>13.76336519458231</v>
      </c>
      <c r="F125" s="22">
        <f aca="true" t="shared" si="84" ref="F125:F138">D125/B125</f>
        <v>146.74530386740332</v>
      </c>
      <c r="G125" s="13">
        <v>102</v>
      </c>
      <c r="H125" s="10">
        <f>G125*H$138/G$138</f>
        <v>269.38742611499197</v>
      </c>
      <c r="I125" s="11">
        <f aca="true" t="shared" si="85" ref="I125:I137">B125-H125</f>
        <v>1540.612573885008</v>
      </c>
      <c r="J125" s="22">
        <f aca="true" t="shared" si="86" ref="J125:J138">100*H125/B125</f>
        <v>14.883283210773037</v>
      </c>
      <c r="K125" s="22">
        <f aca="true" t="shared" si="87" ref="K125:K137">F125</f>
        <v>146.74530386740332</v>
      </c>
      <c r="L125" s="22">
        <f aca="true" t="shared" si="88" ref="L125:L137">F125</f>
        <v>146.74530386740332</v>
      </c>
      <c r="M125" s="11">
        <f aca="true" t="shared" si="89" ref="M125:M137">H125*K125</f>
        <v>39531.33970330216</v>
      </c>
      <c r="N125" s="11">
        <f aca="true" t="shared" si="90" ref="N125:N137">I125*L125</f>
        <v>226077.66029669787</v>
      </c>
      <c r="O125" s="65">
        <f aca="true" t="shared" si="91" ref="O125:O138">K125*H125/G125</f>
        <v>387.56215395394275</v>
      </c>
      <c r="P125" s="66">
        <v>1.15</v>
      </c>
      <c r="Q125" s="22">
        <f>P125*K125</f>
        <v>168.7570994475138</v>
      </c>
      <c r="R125" s="22">
        <f aca="true" t="shared" si="92" ref="R125:R138">T125/I125</f>
        <v>142.89637970826692</v>
      </c>
      <c r="S125" s="11">
        <f aca="true" t="shared" si="93" ref="S125:S137">H125*Q125</f>
        <v>45461.04065879748</v>
      </c>
      <c r="T125" s="11">
        <f aca="true" t="shared" si="94" ref="T125:T137">D125-S125</f>
        <v>220147.9593412025</v>
      </c>
      <c r="U125" s="17">
        <f>R125/Q125</f>
        <v>0.846757737458684</v>
      </c>
      <c r="V125" s="65">
        <f aca="true" t="shared" si="95" ref="V125:V138">Q125*H125/G125</f>
        <v>445.69647704703414</v>
      </c>
    </row>
    <row r="126" spans="1:22" ht="12.75">
      <c r="A126" t="s">
        <v>385</v>
      </c>
      <c r="B126" s="11">
        <v>2183</v>
      </c>
      <c r="C126" s="11">
        <v>299387</v>
      </c>
      <c r="D126" s="11">
        <f t="shared" si="82"/>
        <v>299387</v>
      </c>
      <c r="E126" s="12">
        <f t="shared" si="83"/>
        <v>15.513678435257894</v>
      </c>
      <c r="F126" s="22">
        <f t="shared" si="84"/>
        <v>137.14475492441593</v>
      </c>
      <c r="G126" s="13">
        <v>172</v>
      </c>
      <c r="H126" s="10">
        <f aca="true" t="shared" si="96" ref="H126:H137">G126*H$138/G$138</f>
        <v>454.2611499193982</v>
      </c>
      <c r="I126" s="11">
        <f t="shared" si="85"/>
        <v>1728.7388500806019</v>
      </c>
      <c r="J126" s="22">
        <f t="shared" si="86"/>
        <v>20.80903114610161</v>
      </c>
      <c r="K126" s="22">
        <f t="shared" si="87"/>
        <v>137.14475492441593</v>
      </c>
      <c r="L126" s="22">
        <f t="shared" si="88"/>
        <v>137.14475492441593</v>
      </c>
      <c r="M126" s="11">
        <f t="shared" si="89"/>
        <v>62299.53407737923</v>
      </c>
      <c r="N126" s="11">
        <f t="shared" si="90"/>
        <v>237087.46592262076</v>
      </c>
      <c r="O126" s="65">
        <f t="shared" si="91"/>
        <v>362.20659347313506</v>
      </c>
      <c r="P126" s="66">
        <v>1.15</v>
      </c>
      <c r="Q126" s="22">
        <f aca="true" t="shared" si="97" ref="Q126:Q137">P126*K126</f>
        <v>157.7164681630783</v>
      </c>
      <c r="R126" s="22">
        <f t="shared" si="92"/>
        <v>131.73912057358777</v>
      </c>
      <c r="S126" s="11">
        <f t="shared" si="93"/>
        <v>71644.46418898611</v>
      </c>
      <c r="T126" s="11">
        <f t="shared" si="94"/>
        <v>227742.5358110139</v>
      </c>
      <c r="U126" s="17">
        <f aca="true" t="shared" si="98" ref="U126:U137">R126/Q126</f>
        <v>0.8352908361945435</v>
      </c>
      <c r="V126" s="65">
        <f t="shared" si="95"/>
        <v>416.53758249410527</v>
      </c>
    </row>
    <row r="127" spans="1:22" ht="12.75">
      <c r="A127" t="s">
        <v>386</v>
      </c>
      <c r="B127" s="11">
        <v>2401</v>
      </c>
      <c r="C127" s="11">
        <v>267261</v>
      </c>
      <c r="D127" s="11">
        <f t="shared" si="82"/>
        <v>267261</v>
      </c>
      <c r="E127" s="12">
        <f t="shared" si="83"/>
        <v>13.848968767132373</v>
      </c>
      <c r="F127" s="22">
        <f t="shared" si="84"/>
        <v>111.31236984589755</v>
      </c>
      <c r="G127" s="13">
        <v>181</v>
      </c>
      <c r="H127" s="10">
        <f t="shared" si="96"/>
        <v>478.0306286942504</v>
      </c>
      <c r="I127" s="11">
        <f t="shared" si="85"/>
        <v>1922.9693713057495</v>
      </c>
      <c r="J127" s="22">
        <f t="shared" si="86"/>
        <v>19.909647175937128</v>
      </c>
      <c r="K127" s="22">
        <f t="shared" si="87"/>
        <v>111.31236984589755</v>
      </c>
      <c r="L127" s="22">
        <f t="shared" si="88"/>
        <v>111.31236984589755</v>
      </c>
      <c r="M127" s="11">
        <f t="shared" si="89"/>
        <v>53210.72213888133</v>
      </c>
      <c r="N127" s="11">
        <f t="shared" si="90"/>
        <v>214050.2778611187</v>
      </c>
      <c r="O127" s="65">
        <f t="shared" si="91"/>
        <v>293.9818902700626</v>
      </c>
      <c r="P127" s="66">
        <v>1.2</v>
      </c>
      <c r="Q127" s="22">
        <f t="shared" si="97"/>
        <v>133.57484381507706</v>
      </c>
      <c r="R127" s="22">
        <f t="shared" si="92"/>
        <v>105.778145231311</v>
      </c>
      <c r="S127" s="11">
        <f t="shared" si="93"/>
        <v>63852.8665666576</v>
      </c>
      <c r="T127" s="11">
        <f t="shared" si="94"/>
        <v>203408.1334333424</v>
      </c>
      <c r="U127" s="17">
        <f t="shared" si="98"/>
        <v>0.7919016950358692</v>
      </c>
      <c r="V127" s="65">
        <f t="shared" si="95"/>
        <v>352.7782683240751</v>
      </c>
    </row>
    <row r="128" spans="1:22" ht="12.75">
      <c r="A128" t="s">
        <v>387</v>
      </c>
      <c r="B128" s="11">
        <v>2935</v>
      </c>
      <c r="C128" s="11">
        <v>248981</v>
      </c>
      <c r="D128" s="11">
        <f t="shared" si="82"/>
        <v>248981</v>
      </c>
      <c r="E128" s="12">
        <f t="shared" si="83"/>
        <v>12.901733109617137</v>
      </c>
      <c r="F128" s="22">
        <f t="shared" si="84"/>
        <v>84.83168654173765</v>
      </c>
      <c r="G128" s="13">
        <v>235</v>
      </c>
      <c r="H128" s="10">
        <f t="shared" si="96"/>
        <v>620.6475013433637</v>
      </c>
      <c r="I128" s="11">
        <f t="shared" si="85"/>
        <v>2314.3524986566363</v>
      </c>
      <c r="J128" s="22">
        <f t="shared" si="86"/>
        <v>21.146422532993654</v>
      </c>
      <c r="K128" s="22">
        <f t="shared" si="87"/>
        <v>84.83168654173765</v>
      </c>
      <c r="L128" s="22">
        <f t="shared" si="88"/>
        <v>84.83168654173765</v>
      </c>
      <c r="M128" s="11">
        <f t="shared" si="89"/>
        <v>52650.57428687293</v>
      </c>
      <c r="N128" s="11">
        <f t="shared" si="90"/>
        <v>196330.42571312707</v>
      </c>
      <c r="O128" s="65">
        <f t="shared" si="91"/>
        <v>224.04499696541671</v>
      </c>
      <c r="P128" s="66">
        <v>1.25</v>
      </c>
      <c r="Q128" s="22">
        <f t="shared" si="97"/>
        <v>106.03960817717207</v>
      </c>
      <c r="R128" s="22">
        <f t="shared" si="92"/>
        <v>79.14428862834352</v>
      </c>
      <c r="S128" s="11">
        <f t="shared" si="93"/>
        <v>65813.21785859116</v>
      </c>
      <c r="T128" s="11">
        <f t="shared" si="94"/>
        <v>183167.78214140882</v>
      </c>
      <c r="U128" s="17">
        <f t="shared" si="98"/>
        <v>0.7463653439392989</v>
      </c>
      <c r="V128" s="65">
        <f t="shared" si="95"/>
        <v>280.0562462067709</v>
      </c>
    </row>
    <row r="129" spans="1:22" ht="12.75">
      <c r="A129" t="s">
        <v>388</v>
      </c>
      <c r="B129" s="11">
        <v>3169</v>
      </c>
      <c r="C129" s="11">
        <v>216385</v>
      </c>
      <c r="D129" s="11">
        <f t="shared" si="82"/>
        <v>216385</v>
      </c>
      <c r="E129" s="12">
        <f t="shared" si="83"/>
        <v>11.212668914192264</v>
      </c>
      <c r="F129" s="22">
        <f t="shared" si="84"/>
        <v>68.28179236352162</v>
      </c>
      <c r="G129" s="13">
        <v>290</v>
      </c>
      <c r="H129" s="10">
        <f t="shared" si="96"/>
        <v>765.905427189683</v>
      </c>
      <c r="I129" s="11">
        <f t="shared" si="85"/>
        <v>2403.094572810317</v>
      </c>
      <c r="J129" s="22">
        <f t="shared" si="86"/>
        <v>24.168678674335215</v>
      </c>
      <c r="K129" s="22">
        <f t="shared" si="87"/>
        <v>68.28179236352162</v>
      </c>
      <c r="L129" s="22">
        <f t="shared" si="88"/>
        <v>68.28179236352162</v>
      </c>
      <c r="M129" s="11">
        <f t="shared" si="89"/>
        <v>52297.39534946026</v>
      </c>
      <c r="N129" s="11">
        <f t="shared" si="90"/>
        <v>164087.60465053975</v>
      </c>
      <c r="O129" s="65">
        <f t="shared" si="91"/>
        <v>180.3358460326216</v>
      </c>
      <c r="P129" s="66">
        <v>1.25</v>
      </c>
      <c r="Q129" s="22">
        <f t="shared" si="97"/>
        <v>85.35224045440202</v>
      </c>
      <c r="R129" s="22">
        <f t="shared" si="92"/>
        <v>62.84116219220249</v>
      </c>
      <c r="S129" s="11">
        <f t="shared" si="93"/>
        <v>65371.74418682532</v>
      </c>
      <c r="T129" s="11">
        <f t="shared" si="94"/>
        <v>151013.25581317468</v>
      </c>
      <c r="U129" s="17">
        <f t="shared" si="98"/>
        <v>0.7362567386356343</v>
      </c>
      <c r="V129" s="65">
        <f t="shared" si="95"/>
        <v>225.419807540777</v>
      </c>
    </row>
    <row r="130" spans="1:22" ht="12.75">
      <c r="A130" t="s">
        <v>389</v>
      </c>
      <c r="B130" s="11">
        <v>3139</v>
      </c>
      <c r="C130" s="11">
        <v>171578</v>
      </c>
      <c r="D130" s="11">
        <f t="shared" si="82"/>
        <v>171578</v>
      </c>
      <c r="E130" s="12">
        <f t="shared" si="83"/>
        <v>8.890853372272941</v>
      </c>
      <c r="F130" s="22">
        <f t="shared" si="84"/>
        <v>54.66008282892641</v>
      </c>
      <c r="G130" s="13">
        <v>320</v>
      </c>
      <c r="H130" s="10">
        <f t="shared" si="96"/>
        <v>845.1370231058571</v>
      </c>
      <c r="I130" s="11">
        <f t="shared" si="85"/>
        <v>2293.862976894143</v>
      </c>
      <c r="J130" s="22">
        <f t="shared" si="86"/>
        <v>26.923766266513447</v>
      </c>
      <c r="K130" s="22">
        <f t="shared" si="87"/>
        <v>54.66008282892641</v>
      </c>
      <c r="L130" s="22">
        <f t="shared" si="88"/>
        <v>54.66008282892641</v>
      </c>
      <c r="M130" s="11">
        <f t="shared" si="89"/>
        <v>46195.25968475844</v>
      </c>
      <c r="N130" s="11">
        <f t="shared" si="90"/>
        <v>125382.74031524156</v>
      </c>
      <c r="O130" s="65">
        <f t="shared" si="91"/>
        <v>144.36018651487012</v>
      </c>
      <c r="P130" s="66">
        <v>1.25</v>
      </c>
      <c r="Q130" s="22">
        <f t="shared" si="97"/>
        <v>68.32510353615801</v>
      </c>
      <c r="R130" s="22">
        <f t="shared" si="92"/>
        <v>49.62542511941207</v>
      </c>
      <c r="S130" s="11">
        <f t="shared" si="93"/>
        <v>57744.07460594805</v>
      </c>
      <c r="T130" s="11">
        <f t="shared" si="94"/>
        <v>113833.92539405194</v>
      </c>
      <c r="U130" s="17">
        <f t="shared" si="98"/>
        <v>0.7263132077531361</v>
      </c>
      <c r="V130" s="65">
        <f t="shared" si="95"/>
        <v>180.45023314358767</v>
      </c>
    </row>
    <row r="131" spans="1:22" ht="12.75">
      <c r="A131" t="s">
        <v>390</v>
      </c>
      <c r="B131" s="11">
        <v>3168</v>
      </c>
      <c r="C131" s="11">
        <v>139558</v>
      </c>
      <c r="D131" s="11">
        <f t="shared" si="82"/>
        <v>139558</v>
      </c>
      <c r="E131" s="12">
        <f t="shared" si="83"/>
        <v>7.231636427325572</v>
      </c>
      <c r="F131" s="22">
        <f t="shared" si="84"/>
        <v>44.05239898989899</v>
      </c>
      <c r="G131" s="13">
        <v>338</v>
      </c>
      <c r="H131" s="10">
        <f t="shared" si="96"/>
        <v>892.6759806555615</v>
      </c>
      <c r="I131" s="11">
        <f t="shared" si="85"/>
        <v>2275.3240193444385</v>
      </c>
      <c r="J131" s="22">
        <f t="shared" si="86"/>
        <v>28.177903429784138</v>
      </c>
      <c r="K131" s="22">
        <f t="shared" si="87"/>
        <v>44.05239898989899</v>
      </c>
      <c r="L131" s="22">
        <f t="shared" si="88"/>
        <v>44.05239898989899</v>
      </c>
      <c r="M131" s="11">
        <f t="shared" si="89"/>
        <v>39324.51846853815</v>
      </c>
      <c r="N131" s="11">
        <f t="shared" si="90"/>
        <v>100233.48153146185</v>
      </c>
      <c r="O131" s="65">
        <f t="shared" si="91"/>
        <v>116.34472919685842</v>
      </c>
      <c r="P131" s="66">
        <v>1.25</v>
      </c>
      <c r="Q131" s="22">
        <f t="shared" si="97"/>
        <v>55.06549873737374</v>
      </c>
      <c r="R131" s="22">
        <f t="shared" si="92"/>
        <v>39.73163872298674</v>
      </c>
      <c r="S131" s="11">
        <f t="shared" si="93"/>
        <v>49155.648085672685</v>
      </c>
      <c r="T131" s="11">
        <f t="shared" si="94"/>
        <v>90402.35191432732</v>
      </c>
      <c r="U131" s="17">
        <f t="shared" si="98"/>
        <v>0.7215341662931368</v>
      </c>
      <c r="V131" s="65">
        <f t="shared" si="95"/>
        <v>145.43091149607304</v>
      </c>
    </row>
    <row r="132" spans="1:22" ht="12.75">
      <c r="A132" t="s">
        <v>391</v>
      </c>
      <c r="B132" s="11">
        <v>3154</v>
      </c>
      <c r="C132" s="11">
        <v>109679</v>
      </c>
      <c r="D132" s="11">
        <f t="shared" si="82"/>
        <v>109679</v>
      </c>
      <c r="E132" s="12">
        <f t="shared" si="83"/>
        <v>5.683362126948233</v>
      </c>
      <c r="F132" s="22">
        <f t="shared" si="84"/>
        <v>34.77457197209892</v>
      </c>
      <c r="G132" s="13">
        <v>338</v>
      </c>
      <c r="H132" s="10">
        <f t="shared" si="96"/>
        <v>892.6759806555615</v>
      </c>
      <c r="I132" s="11">
        <f t="shared" si="85"/>
        <v>2261.3240193444385</v>
      </c>
      <c r="J132" s="22">
        <f t="shared" si="86"/>
        <v>28.30297972909199</v>
      </c>
      <c r="K132" s="22">
        <f t="shared" si="87"/>
        <v>34.77457197209892</v>
      </c>
      <c r="L132" s="22">
        <f t="shared" si="88"/>
        <v>34.77457197209892</v>
      </c>
      <c r="M132" s="11">
        <f t="shared" si="89"/>
        <v>31042.425137070804</v>
      </c>
      <c r="N132" s="11">
        <f t="shared" si="90"/>
        <v>78636.57486292918</v>
      </c>
      <c r="O132" s="65">
        <f t="shared" si="91"/>
        <v>91.84149448837516</v>
      </c>
      <c r="P132" s="66">
        <v>1.2</v>
      </c>
      <c r="Q132" s="22">
        <f t="shared" si="97"/>
        <v>41.7294863665187</v>
      </c>
      <c r="R132" s="22">
        <f t="shared" si="92"/>
        <v>32.029063157659316</v>
      </c>
      <c r="S132" s="11">
        <f t="shared" si="93"/>
        <v>37250.910164484965</v>
      </c>
      <c r="T132" s="11">
        <f t="shared" si="94"/>
        <v>72428.08983551504</v>
      </c>
      <c r="U132" s="17">
        <f t="shared" si="98"/>
        <v>0.7675403161290182</v>
      </c>
      <c r="V132" s="65">
        <f t="shared" si="95"/>
        <v>110.2097933860502</v>
      </c>
    </row>
    <row r="133" spans="1:22" ht="12.75">
      <c r="A133" t="s">
        <v>392</v>
      </c>
      <c r="B133" s="11">
        <v>3424</v>
      </c>
      <c r="C133" s="11">
        <v>84881</v>
      </c>
      <c r="D133" s="11">
        <f t="shared" si="82"/>
        <v>84881</v>
      </c>
      <c r="E133" s="12">
        <f t="shared" si="83"/>
        <v>4.398375812119849</v>
      </c>
      <c r="F133" s="22">
        <f t="shared" si="84"/>
        <v>24.79001168224299</v>
      </c>
      <c r="G133" s="13">
        <v>376</v>
      </c>
      <c r="H133" s="10">
        <f t="shared" si="96"/>
        <v>993.036002149382</v>
      </c>
      <c r="I133" s="11">
        <f t="shared" si="85"/>
        <v>2430.963997850618</v>
      </c>
      <c r="J133" s="22">
        <f t="shared" si="86"/>
        <v>29.002219688942233</v>
      </c>
      <c r="K133" s="22">
        <f t="shared" si="87"/>
        <v>24.79001168224299</v>
      </c>
      <c r="L133" s="22">
        <f t="shared" si="88"/>
        <v>24.79001168224299</v>
      </c>
      <c r="M133" s="11">
        <f t="shared" si="89"/>
        <v>24617.374094171057</v>
      </c>
      <c r="N133" s="11">
        <f t="shared" si="90"/>
        <v>60263.62590582894</v>
      </c>
      <c r="O133" s="65">
        <f t="shared" si="91"/>
        <v>65.47173961215707</v>
      </c>
      <c r="P133" s="66">
        <v>1.15</v>
      </c>
      <c r="Q133" s="22">
        <f t="shared" si="97"/>
        <v>28.508513434579438</v>
      </c>
      <c r="R133" s="22">
        <f t="shared" si="92"/>
        <v>23.271023282007306</v>
      </c>
      <c r="S133" s="11">
        <f t="shared" si="93"/>
        <v>28309.980208296714</v>
      </c>
      <c r="T133" s="11">
        <f t="shared" si="94"/>
        <v>56571.019791703286</v>
      </c>
      <c r="U133" s="17">
        <f t="shared" si="98"/>
        <v>0.8162832950027021</v>
      </c>
      <c r="V133" s="65">
        <f t="shared" si="95"/>
        <v>75.29250055398062</v>
      </c>
    </row>
    <row r="134" spans="1:22" ht="12.75">
      <c r="A134" t="s">
        <v>393</v>
      </c>
      <c r="B134" s="11">
        <v>3206</v>
      </c>
      <c r="C134" s="11">
        <v>58203</v>
      </c>
      <c r="D134" s="11">
        <f t="shared" si="82"/>
        <v>58203</v>
      </c>
      <c r="E134" s="12">
        <f t="shared" si="83"/>
        <v>3.015971388094056</v>
      </c>
      <c r="F134" s="22">
        <f t="shared" si="84"/>
        <v>18.154398003742983</v>
      </c>
      <c r="G134" s="13">
        <v>371</v>
      </c>
      <c r="H134" s="10">
        <f t="shared" si="96"/>
        <v>979.830736163353</v>
      </c>
      <c r="I134" s="11">
        <f t="shared" si="85"/>
        <v>2226.169263836647</v>
      </c>
      <c r="J134" s="22">
        <f t="shared" si="86"/>
        <v>30.56240599386628</v>
      </c>
      <c r="K134" s="22">
        <f t="shared" si="87"/>
        <v>18.154398003742983</v>
      </c>
      <c r="L134" s="22">
        <f t="shared" si="88"/>
        <v>18.154398003742983</v>
      </c>
      <c r="M134" s="11">
        <f t="shared" si="89"/>
        <v>17788.23716060999</v>
      </c>
      <c r="N134" s="11">
        <f t="shared" si="90"/>
        <v>40414.762839390016</v>
      </c>
      <c r="O134" s="65">
        <f t="shared" si="91"/>
        <v>47.946730891132056</v>
      </c>
      <c r="P134" s="66">
        <v>1.1</v>
      </c>
      <c r="Q134" s="22">
        <f t="shared" si="97"/>
        <v>19.969837804117283</v>
      </c>
      <c r="R134" s="22">
        <f t="shared" si="92"/>
        <v>17.35534658166229</v>
      </c>
      <c r="S134" s="11">
        <f t="shared" si="93"/>
        <v>19567.060876670992</v>
      </c>
      <c r="T134" s="11">
        <f t="shared" si="94"/>
        <v>38635.93912332901</v>
      </c>
      <c r="U134" s="17">
        <f t="shared" si="98"/>
        <v>0.8690779941179116</v>
      </c>
      <c r="V134" s="65">
        <f t="shared" si="95"/>
        <v>52.74140398024526</v>
      </c>
    </row>
    <row r="135" spans="1:22" ht="12.75">
      <c r="A135" t="s">
        <v>394</v>
      </c>
      <c r="B135" s="11">
        <v>2987</v>
      </c>
      <c r="C135" s="11">
        <v>37949</v>
      </c>
      <c r="D135" s="11">
        <f t="shared" si="82"/>
        <v>37949</v>
      </c>
      <c r="E135" s="12">
        <f t="shared" si="83"/>
        <v>1.966446715921539</v>
      </c>
      <c r="F135" s="22">
        <f t="shared" si="84"/>
        <v>12.704720455306328</v>
      </c>
      <c r="G135" s="13">
        <v>371</v>
      </c>
      <c r="H135" s="10">
        <f t="shared" si="96"/>
        <v>979.830736163353</v>
      </c>
      <c r="I135" s="11">
        <f t="shared" si="85"/>
        <v>2007.1692638366471</v>
      </c>
      <c r="J135" s="22">
        <f t="shared" si="86"/>
        <v>32.803171615780144</v>
      </c>
      <c r="K135" s="22">
        <f t="shared" si="87"/>
        <v>12.704720455306328</v>
      </c>
      <c r="L135" s="22">
        <f t="shared" si="88"/>
        <v>12.704720455306328</v>
      </c>
      <c r="M135" s="11">
        <f t="shared" si="89"/>
        <v>12448.475596472408</v>
      </c>
      <c r="N135" s="11">
        <f t="shared" si="90"/>
        <v>25500.524403527594</v>
      </c>
      <c r="O135" s="65">
        <f t="shared" si="91"/>
        <v>33.55384257809274</v>
      </c>
      <c r="P135" s="66">
        <v>1.05</v>
      </c>
      <c r="Q135" s="22">
        <f t="shared" si="97"/>
        <v>13.339956478071645</v>
      </c>
      <c r="R135" s="22">
        <f t="shared" si="92"/>
        <v>12.394620160808055</v>
      </c>
      <c r="S135" s="11">
        <f t="shared" si="93"/>
        <v>13070.899376296029</v>
      </c>
      <c r="T135" s="11">
        <f t="shared" si="94"/>
        <v>24878.10062370397</v>
      </c>
      <c r="U135" s="17">
        <f t="shared" si="98"/>
        <v>0.9291349774028466</v>
      </c>
      <c r="V135" s="65">
        <f t="shared" si="95"/>
        <v>35.23153470699738</v>
      </c>
    </row>
    <row r="136" spans="1:22" ht="12.75">
      <c r="A136" t="s">
        <v>395</v>
      </c>
      <c r="B136" s="11">
        <v>2344</v>
      </c>
      <c r="C136" s="11">
        <v>19411</v>
      </c>
      <c r="D136" s="11">
        <f t="shared" si="82"/>
        <v>19411</v>
      </c>
      <c r="E136" s="12">
        <f t="shared" si="83"/>
        <v>1.0058419774632532</v>
      </c>
      <c r="F136" s="22">
        <f t="shared" si="84"/>
        <v>8.281143344709898</v>
      </c>
      <c r="G136" s="13">
        <v>305</v>
      </c>
      <c r="H136" s="10">
        <f t="shared" si="96"/>
        <v>805.52122514777</v>
      </c>
      <c r="I136" s="11">
        <f t="shared" si="85"/>
        <v>1538.47877485223</v>
      </c>
      <c r="J136" s="22">
        <f t="shared" si="86"/>
        <v>34.36523998070691</v>
      </c>
      <c r="K136" s="22">
        <f t="shared" si="87"/>
        <v>8.281143344709898</v>
      </c>
      <c r="L136" s="22">
        <f t="shared" si="88"/>
        <v>8.281143344709898</v>
      </c>
      <c r="M136" s="11">
        <f t="shared" si="89"/>
        <v>6670.636732655019</v>
      </c>
      <c r="N136" s="11">
        <f t="shared" si="90"/>
        <v>12740.363267344981</v>
      </c>
      <c r="O136" s="65">
        <f t="shared" si="91"/>
        <v>21.870940107065636</v>
      </c>
      <c r="P136" s="66">
        <v>1</v>
      </c>
      <c r="Q136" s="22">
        <f t="shared" si="97"/>
        <v>8.281143344709898</v>
      </c>
      <c r="R136" s="22">
        <f t="shared" si="92"/>
        <v>8.281143344709898</v>
      </c>
      <c r="S136" s="11">
        <f t="shared" si="93"/>
        <v>6670.636732655019</v>
      </c>
      <c r="T136" s="11">
        <f t="shared" si="94"/>
        <v>12740.363267344981</v>
      </c>
      <c r="U136" s="17">
        <f t="shared" si="98"/>
        <v>1</v>
      </c>
      <c r="V136" s="65">
        <f t="shared" si="95"/>
        <v>21.870940107065636</v>
      </c>
    </row>
    <row r="137" spans="1:22" ht="12.75">
      <c r="A137" t="s">
        <v>396</v>
      </c>
      <c r="B137" s="11">
        <v>2345</v>
      </c>
      <c r="C137" s="11">
        <f>8094+2407+443</f>
        <v>10944</v>
      </c>
      <c r="D137" s="11">
        <f t="shared" si="82"/>
        <v>10944</v>
      </c>
      <c r="E137" s="12">
        <f t="shared" si="83"/>
        <v>0.5670977590725796</v>
      </c>
      <c r="F137" s="22">
        <f t="shared" si="84"/>
        <v>4.666950959488273</v>
      </c>
      <c r="G137" s="13">
        <v>323</v>
      </c>
      <c r="H137" s="10">
        <f t="shared" si="96"/>
        <v>853.0601826974745</v>
      </c>
      <c r="I137" s="11">
        <f t="shared" si="85"/>
        <v>1491.9398173025256</v>
      </c>
      <c r="J137" s="22">
        <f t="shared" si="86"/>
        <v>36.37783295085179</v>
      </c>
      <c r="K137" s="22">
        <f t="shared" si="87"/>
        <v>4.666950959488273</v>
      </c>
      <c r="L137" s="22">
        <f t="shared" si="88"/>
        <v>4.666950959488273</v>
      </c>
      <c r="M137" s="11">
        <f t="shared" si="89"/>
        <v>3981.1900381412197</v>
      </c>
      <c r="N137" s="11">
        <f t="shared" si="90"/>
        <v>6962.80996185878</v>
      </c>
      <c r="O137" s="65">
        <f t="shared" si="91"/>
        <v>12.325665752759194</v>
      </c>
      <c r="P137" s="66">
        <v>1</v>
      </c>
      <c r="Q137" s="22">
        <f t="shared" si="97"/>
        <v>4.666950959488273</v>
      </c>
      <c r="R137" s="22">
        <f t="shared" si="92"/>
        <v>4.666950959488273</v>
      </c>
      <c r="S137" s="11">
        <f t="shared" si="93"/>
        <v>3981.1900381412197</v>
      </c>
      <c r="T137" s="11">
        <f t="shared" si="94"/>
        <v>6962.80996185878</v>
      </c>
      <c r="U137" s="17">
        <f t="shared" si="98"/>
        <v>1</v>
      </c>
      <c r="V137" s="65">
        <f t="shared" si="95"/>
        <v>12.325665752759194</v>
      </c>
    </row>
    <row r="138" spans="1:22" ht="12.75">
      <c r="A138" t="s">
        <v>18</v>
      </c>
      <c r="B138" s="11">
        <f>SUM(B125:B137)</f>
        <v>36265</v>
      </c>
      <c r="C138" s="11">
        <f>SUM(C125:C137)</f>
        <v>1929826</v>
      </c>
      <c r="D138" s="11">
        <f t="shared" si="82"/>
        <v>1929826</v>
      </c>
      <c r="E138" s="12">
        <f t="shared" si="83"/>
        <v>100</v>
      </c>
      <c r="F138" s="22">
        <f t="shared" si="84"/>
        <v>53.21455949262374</v>
      </c>
      <c r="G138" s="11">
        <f>SUM(G125:G137)</f>
        <v>3722</v>
      </c>
      <c r="H138" s="11">
        <v>9830</v>
      </c>
      <c r="I138" s="11">
        <f>SUM(I125:I137)</f>
        <v>26434.999999999996</v>
      </c>
      <c r="J138" s="22">
        <f t="shared" si="86"/>
        <v>27.10602509306494</v>
      </c>
      <c r="K138" s="22">
        <f>M138/H138</f>
        <v>44.97026271295147</v>
      </c>
      <c r="L138" s="65">
        <f>N138/I138</f>
        <v>56.28024654933562</v>
      </c>
      <c r="M138" s="11">
        <f>SUM(M125:M137)</f>
        <v>442057.6824683129</v>
      </c>
      <c r="N138" s="11">
        <f>SUM(N125:N137)</f>
        <v>1487768.317531687</v>
      </c>
      <c r="O138" s="65">
        <f t="shared" si="91"/>
        <v>118.7688561172254</v>
      </c>
      <c r="P138" s="65"/>
      <c r="Q138" s="22">
        <f>S138/H138</f>
        <v>53.702312670195674</v>
      </c>
      <c r="R138" s="65">
        <f t="shared" si="92"/>
        <v>53.03318579353042</v>
      </c>
      <c r="S138" s="11">
        <f>SUM(S125:S137)</f>
        <v>527893.7335480235</v>
      </c>
      <c r="T138" s="11">
        <f>SUM(T125:T137)</f>
        <v>1401932.2664519765</v>
      </c>
      <c r="U138" s="11"/>
      <c r="V138" s="65">
        <f t="shared" si="95"/>
        <v>141.83066457496602</v>
      </c>
    </row>
  </sheetData>
  <mergeCells count="12">
    <mergeCell ref="K23:O23"/>
    <mergeCell ref="P23:T23"/>
    <mergeCell ref="K42:O42"/>
    <mergeCell ref="K62:O62"/>
    <mergeCell ref="P83:T83"/>
    <mergeCell ref="P62:T62"/>
    <mergeCell ref="K123:O123"/>
    <mergeCell ref="P42:T42"/>
    <mergeCell ref="K83:O83"/>
    <mergeCell ref="K103:O103"/>
    <mergeCell ref="P123:T123"/>
    <mergeCell ref="P103:T10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9"/>
  <sheetViews>
    <sheetView workbookViewId="0" topLeftCell="A1">
      <selection activeCell="A1" sqref="A1"/>
    </sheetView>
  </sheetViews>
  <sheetFormatPr defaultColWidth="11.421875" defaultRowHeight="12.75"/>
  <sheetData>
    <row r="1" spans="1:35" ht="12.75">
      <c r="A1" s="35" t="s">
        <v>199</v>
      </c>
      <c r="B1" s="1" t="s">
        <v>209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ht="12.75">
      <c r="A2" s="35" t="s">
        <v>319</v>
      </c>
      <c r="B2" s="1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ht="12.75">
      <c r="A3" s="35"/>
      <c r="B3" s="1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ht="12.75">
      <c r="A4" t="s">
        <v>202</v>
      </c>
    </row>
    <row r="5" ht="12.75">
      <c r="A5" t="s">
        <v>200</v>
      </c>
    </row>
    <row r="6" ht="12.75">
      <c r="A6" t="s">
        <v>201</v>
      </c>
    </row>
    <row r="7" ht="12.75">
      <c r="A7" t="s">
        <v>203</v>
      </c>
    </row>
    <row r="8" ht="12.75">
      <c r="A8" t="s">
        <v>204</v>
      </c>
    </row>
    <row r="9" ht="12.75">
      <c r="A9" t="s">
        <v>205</v>
      </c>
    </row>
    <row r="10" ht="12.75">
      <c r="A10" t="s">
        <v>206</v>
      </c>
    </row>
    <row r="11" ht="12.75">
      <c r="A11" t="s">
        <v>380</v>
      </c>
    </row>
    <row r="13" ht="12.75">
      <c r="A13" s="1" t="s">
        <v>227</v>
      </c>
    </row>
    <row r="14" ht="12.75">
      <c r="A14" s="1" t="s">
        <v>228</v>
      </c>
    </row>
    <row r="15" ht="12.75">
      <c r="A15" s="1" t="s">
        <v>229</v>
      </c>
    </row>
    <row r="16" ht="12.75">
      <c r="A16" s="1" t="s">
        <v>230</v>
      </c>
    </row>
    <row r="17" ht="12.75">
      <c r="A17" s="1" t="s">
        <v>231</v>
      </c>
    </row>
    <row r="18" ht="12.75">
      <c r="A18" s="1" t="s">
        <v>232</v>
      </c>
    </row>
    <row r="19" ht="12.75">
      <c r="A19" s="1" t="s">
        <v>233</v>
      </c>
    </row>
    <row r="20" ht="12.75">
      <c r="A20" s="1" t="s">
        <v>234</v>
      </c>
    </row>
    <row r="21" ht="12.75">
      <c r="A21" s="25" t="s">
        <v>235</v>
      </c>
    </row>
    <row r="22" ht="12.75">
      <c r="A22" s="25" t="s">
        <v>236</v>
      </c>
    </row>
    <row r="23" ht="12.75">
      <c r="A23" s="25" t="s">
        <v>237</v>
      </c>
    </row>
    <row r="24" ht="12.75">
      <c r="A24" s="1"/>
    </row>
    <row r="25" ht="12.75">
      <c r="A25" s="1"/>
    </row>
    <row r="26" spans="1:9" ht="12.75">
      <c r="A26" s="21" t="s">
        <v>210</v>
      </c>
      <c r="B26" s="13" t="s">
        <v>61</v>
      </c>
      <c r="C26" s="13" t="s">
        <v>50</v>
      </c>
      <c r="D26" s="13" t="s">
        <v>51</v>
      </c>
      <c r="E26" s="13" t="s">
        <v>52</v>
      </c>
      <c r="F26" s="13" t="s">
        <v>53</v>
      </c>
      <c r="G26" s="13" t="s">
        <v>54</v>
      </c>
      <c r="H26" s="13" t="s">
        <v>55</v>
      </c>
      <c r="I26" s="13" t="s">
        <v>56</v>
      </c>
    </row>
    <row r="27" spans="1:9" ht="12.75">
      <c r="A27" s="13" t="s">
        <v>207</v>
      </c>
      <c r="B27" s="11">
        <f>'Res1807-1913'!B155</f>
        <v>9155.872</v>
      </c>
      <c r="C27" s="11">
        <f>'Res1807-1913'!C155</f>
        <v>45720</v>
      </c>
      <c r="D27" s="11">
        <f>'Res1807-1913'!D155</f>
        <v>89305</v>
      </c>
      <c r="E27" s="11">
        <f>'Res1807-1913'!E155</f>
        <v>162848</v>
      </c>
      <c r="F27" s="11">
        <f>'Res1807-1913'!F155</f>
        <v>478395</v>
      </c>
      <c r="G27" s="11">
        <f>'Res1807-1913'!G155</f>
        <v>698148</v>
      </c>
      <c r="H27" s="11">
        <f>'Res1807-1913'!H155</f>
        <v>1546431</v>
      </c>
      <c r="I27" s="11">
        <f>'Res1807-1913'!I155</f>
        <v>3466819</v>
      </c>
    </row>
    <row r="28" spans="1:9" ht="12.75">
      <c r="A28" s="13" t="s">
        <v>208</v>
      </c>
      <c r="B28" s="11">
        <v>9749</v>
      </c>
      <c r="C28" s="11">
        <v>48684</v>
      </c>
      <c r="D28" s="11">
        <v>95181</v>
      </c>
      <c r="E28" s="11">
        <v>173130</v>
      </c>
      <c r="F28" s="11">
        <v>504847</v>
      </c>
      <c r="G28" s="11">
        <v>735483</v>
      </c>
      <c r="H28" s="11">
        <v>1600716</v>
      </c>
      <c r="I28" s="11">
        <v>3466819</v>
      </c>
    </row>
    <row r="29" spans="1:9" ht="12.75">
      <c r="A29" s="13" t="s">
        <v>130</v>
      </c>
      <c r="B29" s="46">
        <f>B28/B27</f>
        <v>1.0647811590201348</v>
      </c>
      <c r="C29" s="46">
        <f aca="true" t="shared" si="0" ref="C29:I29">C28/C27</f>
        <v>1.0648293963254594</v>
      </c>
      <c r="D29" s="46">
        <f t="shared" si="0"/>
        <v>1.0657969878506242</v>
      </c>
      <c r="E29" s="46">
        <f t="shared" si="0"/>
        <v>1.063138632344272</v>
      </c>
      <c r="F29" s="46">
        <f t="shared" si="0"/>
        <v>1.0552932200378349</v>
      </c>
      <c r="G29" s="46">
        <f t="shared" si="0"/>
        <v>1.0534771996768593</v>
      </c>
      <c r="H29" s="46">
        <f t="shared" si="0"/>
        <v>1.0351034090754776</v>
      </c>
      <c r="I29" s="46">
        <f t="shared" si="0"/>
        <v>1</v>
      </c>
    </row>
    <row r="30" spans="1:9" ht="12.75">
      <c r="A30" s="21" t="s">
        <v>210</v>
      </c>
      <c r="B30" s="13" t="s">
        <v>62</v>
      </c>
      <c r="C30" s="13" t="s">
        <v>63</v>
      </c>
      <c r="D30" s="13" t="s">
        <v>64</v>
      </c>
      <c r="E30" s="13" t="s">
        <v>65</v>
      </c>
      <c r="F30" s="13" t="s">
        <v>66</v>
      </c>
      <c r="G30" s="13" t="s">
        <v>67</v>
      </c>
      <c r="H30" s="13" t="s">
        <v>68</v>
      </c>
      <c r="I30" s="13" t="s">
        <v>56</v>
      </c>
    </row>
    <row r="31" spans="1:9" ht="12.75">
      <c r="A31" s="13" t="s">
        <v>207</v>
      </c>
      <c r="B31" s="11">
        <f>(100*B27-20*C27)/80</f>
        <v>14.839999999999417</v>
      </c>
      <c r="C31" s="11">
        <f>(20*C27-10*D27)/10</f>
        <v>2135</v>
      </c>
      <c r="D31" s="11">
        <f>(10*D27-5*E27)/5</f>
        <v>15762</v>
      </c>
      <c r="E31" s="11">
        <f>(5*E27-F27)/4</f>
        <v>83961.25</v>
      </c>
      <c r="F31" s="11">
        <f>(2*F27-G27)/1</f>
        <v>258642</v>
      </c>
      <c r="G31" s="11">
        <f>(5*G27-H27)/4</f>
        <v>486077.25</v>
      </c>
      <c r="H31" s="11">
        <f>(10*H27-I27)/9</f>
        <v>1333054.5555555555</v>
      </c>
      <c r="I31" s="11">
        <f>I27</f>
        <v>3466819</v>
      </c>
    </row>
    <row r="32" spans="1:9" ht="12.75">
      <c r="A32" s="13" t="s">
        <v>208</v>
      </c>
      <c r="B32" s="11">
        <f>(100*B28-20*C28)/80</f>
        <v>15.25</v>
      </c>
      <c r="C32" s="11">
        <f>(20*C28-10*D28)/10</f>
        <v>2187</v>
      </c>
      <c r="D32" s="11">
        <f>(10*D28-5*E28)/5</f>
        <v>17232</v>
      </c>
      <c r="E32" s="11">
        <f>(5*E28-F28)/4</f>
        <v>90200.75</v>
      </c>
      <c r="F32" s="11">
        <f>(2*F28-G28)/1</f>
        <v>274211</v>
      </c>
      <c r="G32" s="11">
        <f>(5*G28-H28)/4</f>
        <v>519174.75</v>
      </c>
      <c r="H32" s="11">
        <f>(10*H28-I28)/9</f>
        <v>1393371.2222222222</v>
      </c>
      <c r="I32" s="11">
        <f>I28</f>
        <v>3466819</v>
      </c>
    </row>
    <row r="33" spans="1:9" ht="12.75">
      <c r="A33" s="13" t="s">
        <v>130</v>
      </c>
      <c r="B33" s="46">
        <f aca="true" t="shared" si="1" ref="B33:I33">B32/B31</f>
        <v>1.0276280323450537</v>
      </c>
      <c r="C33" s="46">
        <f t="shared" si="1"/>
        <v>1.0243559718969555</v>
      </c>
      <c r="D33" s="46">
        <f t="shared" si="1"/>
        <v>1.093262276360868</v>
      </c>
      <c r="E33" s="46">
        <f t="shared" si="1"/>
        <v>1.0743140436808647</v>
      </c>
      <c r="F33" s="46">
        <f t="shared" si="1"/>
        <v>1.0601951732510575</v>
      </c>
      <c r="G33" s="46">
        <f t="shared" si="1"/>
        <v>1.068091028740802</v>
      </c>
      <c r="H33" s="46">
        <f t="shared" si="1"/>
        <v>1.0452469603853005</v>
      </c>
      <c r="I33" s="46">
        <f t="shared" si="1"/>
        <v>1</v>
      </c>
    </row>
    <row r="34" spans="1:9" ht="12.75">
      <c r="A34" s="21" t="s">
        <v>211</v>
      </c>
      <c r="B34" s="13" t="s">
        <v>49</v>
      </c>
      <c r="C34" s="13" t="s">
        <v>11</v>
      </c>
      <c r="D34" s="13" t="s">
        <v>12</v>
      </c>
      <c r="E34" s="13" t="s">
        <v>13</v>
      </c>
      <c r="F34" s="13" t="s">
        <v>14</v>
      </c>
      <c r="G34" s="13" t="s">
        <v>15</v>
      </c>
      <c r="H34" s="13" t="s">
        <v>16</v>
      </c>
      <c r="I34" s="13"/>
    </row>
    <row r="35" spans="1:9" ht="12.75">
      <c r="A35" s="13" t="s">
        <v>207</v>
      </c>
      <c r="B35" s="11">
        <f>'Res1807-1913'!B197</f>
        <v>307</v>
      </c>
      <c r="C35" s="11">
        <f>'Res1807-1913'!C197</f>
        <v>7083</v>
      </c>
      <c r="D35" s="11">
        <f>'Res1807-1913'!D197</f>
        <v>31566</v>
      </c>
      <c r="E35" s="11">
        <f>'Res1807-1913'!E197</f>
        <v>200000</v>
      </c>
      <c r="F35" s="11">
        <f>'Res1807-1913'!F197</f>
        <v>326140</v>
      </c>
      <c r="G35" s="11">
        <f>'Res1807-1913'!G197</f>
        <v>832594</v>
      </c>
      <c r="H35" s="11">
        <f>'Res1807-1913'!H197</f>
        <v>2800737</v>
      </c>
      <c r="I35" s="11"/>
    </row>
    <row r="36" spans="1:9" ht="12.75">
      <c r="A36" s="13" t="s">
        <v>208</v>
      </c>
      <c r="B36" s="11">
        <v>307</v>
      </c>
      <c r="C36" s="11">
        <v>7573</v>
      </c>
      <c r="D36" s="11">
        <v>34600</v>
      </c>
      <c r="E36" s="11">
        <v>209225</v>
      </c>
      <c r="F36" s="11">
        <v>361120</v>
      </c>
      <c r="G36" s="11">
        <v>836654</v>
      </c>
      <c r="H36" s="11">
        <v>2800737</v>
      </c>
      <c r="I36" s="11"/>
    </row>
    <row r="37" spans="1:9" ht="12.75">
      <c r="A37" s="13" t="s">
        <v>130</v>
      </c>
      <c r="B37" s="46">
        <f aca="true" t="shared" si="2" ref="B37:H37">B36/B35</f>
        <v>1</v>
      </c>
      <c r="C37" s="46">
        <f t="shared" si="2"/>
        <v>1.069179726104758</v>
      </c>
      <c r="D37" s="46">
        <f t="shared" si="2"/>
        <v>1.096116074257112</v>
      </c>
      <c r="E37" s="46">
        <f t="shared" si="2"/>
        <v>1.046125</v>
      </c>
      <c r="F37" s="46">
        <f t="shared" si="2"/>
        <v>1.1072545532593365</v>
      </c>
      <c r="G37" s="46">
        <f t="shared" si="2"/>
        <v>1.0048763262766727</v>
      </c>
      <c r="H37" s="46">
        <f t="shared" si="2"/>
        <v>1</v>
      </c>
      <c r="I37" s="46"/>
    </row>
    <row r="38" spans="1:9" ht="12.75">
      <c r="A38" s="21" t="s">
        <v>212</v>
      </c>
      <c r="B38" s="13" t="s">
        <v>61</v>
      </c>
      <c r="C38" s="13" t="s">
        <v>50</v>
      </c>
      <c r="D38" s="13" t="s">
        <v>51</v>
      </c>
      <c r="E38" s="13" t="s">
        <v>52</v>
      </c>
      <c r="F38" s="13" t="s">
        <v>53</v>
      </c>
      <c r="G38" s="13" t="s">
        <v>54</v>
      </c>
      <c r="H38" s="13" t="s">
        <v>55</v>
      </c>
      <c r="I38" s="13" t="s">
        <v>56</v>
      </c>
    </row>
    <row r="39" spans="1:9" ht="12.75">
      <c r="A39" s="13" t="s">
        <v>207</v>
      </c>
      <c r="B39" s="12">
        <f>100*B27/$B27</f>
        <v>100</v>
      </c>
      <c r="C39" s="12">
        <f>20*C27/$B27</f>
        <v>99.87033457872718</v>
      </c>
      <c r="D39" s="12">
        <f>10*D27/$B27</f>
        <v>97.53849769852616</v>
      </c>
      <c r="E39" s="12">
        <f>5*E27/$B27</f>
        <v>88.93090685409321</v>
      </c>
      <c r="F39" s="12">
        <f>1*F27/$B27</f>
        <v>52.2500751430339</v>
      </c>
      <c r="G39" s="12">
        <f>0.5*G27/$B27</f>
        <v>38.12569682057591</v>
      </c>
      <c r="H39" s="12">
        <f>0.1*H27/$B27</f>
        <v>16.890046081902415</v>
      </c>
      <c r="I39" s="12">
        <f>0.01*I27/$B27</f>
        <v>3.7864432792419995</v>
      </c>
    </row>
    <row r="40" spans="1:9" ht="12.75">
      <c r="A40" s="13" t="s">
        <v>208</v>
      </c>
      <c r="B40" s="12">
        <f>100*B28/$B28</f>
        <v>100</v>
      </c>
      <c r="C40" s="12">
        <f>20*C28/$B28</f>
        <v>99.87485895989332</v>
      </c>
      <c r="D40" s="12">
        <f>10*D28/$B28</f>
        <v>97.63155195404657</v>
      </c>
      <c r="E40" s="12">
        <f>5*E28/$B28</f>
        <v>88.79372243307006</v>
      </c>
      <c r="F40" s="12">
        <f>1*F28/$B28</f>
        <v>51.784490716996615</v>
      </c>
      <c r="G40" s="12">
        <f>0.5*G28/$B28</f>
        <v>37.72094573802441</v>
      </c>
      <c r="H40" s="12">
        <f>0.1*H28/$B28</f>
        <v>16.419284029131195</v>
      </c>
      <c r="I40" s="12">
        <f>0.01*I28/$B28</f>
        <v>3.5560765206687868</v>
      </c>
    </row>
    <row r="41" spans="1:9" ht="12.75">
      <c r="A41" s="13" t="s">
        <v>130</v>
      </c>
      <c r="B41" s="46">
        <f aca="true" t="shared" si="3" ref="B41:I41">B40/B39</f>
        <v>1</v>
      </c>
      <c r="C41" s="46">
        <f t="shared" si="3"/>
        <v>1.0000453025534082</v>
      </c>
      <c r="D41" s="46">
        <f t="shared" si="3"/>
        <v>1.0009540259253125</v>
      </c>
      <c r="E41" s="46">
        <f t="shared" si="3"/>
        <v>0.9984574044516579</v>
      </c>
      <c r="F41" s="46">
        <f t="shared" si="3"/>
        <v>0.9910893060964457</v>
      </c>
      <c r="G41" s="46">
        <f t="shared" si="3"/>
        <v>0.9893837721981501</v>
      </c>
      <c r="H41" s="46">
        <f t="shared" si="3"/>
        <v>0.9721278408307222</v>
      </c>
      <c r="I41" s="46">
        <f t="shared" si="3"/>
        <v>0.9391601189865627</v>
      </c>
    </row>
    <row r="42" spans="1:9" ht="12.75">
      <c r="A42" s="21" t="s">
        <v>212</v>
      </c>
      <c r="B42" s="13" t="s">
        <v>62</v>
      </c>
      <c r="C42" s="13" t="s">
        <v>63</v>
      </c>
      <c r="D42" s="13" t="s">
        <v>64</v>
      </c>
      <c r="E42" s="13" t="s">
        <v>65</v>
      </c>
      <c r="F42" s="13" t="s">
        <v>66</v>
      </c>
      <c r="G42" s="13" t="s">
        <v>67</v>
      </c>
      <c r="H42" s="13" t="s">
        <v>68</v>
      </c>
      <c r="I42" s="13" t="s">
        <v>56</v>
      </c>
    </row>
    <row r="43" spans="1:9" ht="12.75">
      <c r="A43" s="13" t="s">
        <v>207</v>
      </c>
      <c r="B43" s="12">
        <f>B39-C39</f>
        <v>0.12966542127281855</v>
      </c>
      <c r="C43" s="12">
        <f aca="true" t="shared" si="4" ref="C43:I43">C39-D39</f>
        <v>2.331836880201024</v>
      </c>
      <c r="D43" s="12">
        <f t="shared" si="4"/>
        <v>8.607590844432949</v>
      </c>
      <c r="E43" s="12">
        <f t="shared" si="4"/>
        <v>36.68083171105931</v>
      </c>
      <c r="F43" s="12">
        <f t="shared" si="4"/>
        <v>14.124378322457986</v>
      </c>
      <c r="G43" s="12">
        <f t="shared" si="4"/>
        <v>21.235650738673495</v>
      </c>
      <c r="H43" s="12">
        <f t="shared" si="4"/>
        <v>13.103602802660415</v>
      </c>
      <c r="I43" s="12">
        <f t="shared" si="4"/>
        <v>3.7864432792419995</v>
      </c>
    </row>
    <row r="44" spans="1:9" ht="12.75">
      <c r="A44" s="13" t="s">
        <v>208</v>
      </c>
      <c r="B44" s="12">
        <f aca="true" t="shared" si="5" ref="B44:I44">B40-C40</f>
        <v>0.12514104010668348</v>
      </c>
      <c r="C44" s="12">
        <f t="shared" si="5"/>
        <v>2.243307005846745</v>
      </c>
      <c r="D44" s="12">
        <f t="shared" si="5"/>
        <v>8.837829520976513</v>
      </c>
      <c r="E44" s="12">
        <f t="shared" si="5"/>
        <v>37.009231716073444</v>
      </c>
      <c r="F44" s="12">
        <f t="shared" si="5"/>
        <v>14.063544978972203</v>
      </c>
      <c r="G44" s="12">
        <f t="shared" si="5"/>
        <v>21.301661708893217</v>
      </c>
      <c r="H44" s="12">
        <f t="shared" si="5"/>
        <v>12.863207508462407</v>
      </c>
      <c r="I44" s="12">
        <f t="shared" si="5"/>
        <v>3.5560765206687868</v>
      </c>
    </row>
    <row r="45" spans="1:9" ht="12.75">
      <c r="A45" s="13" t="s">
        <v>130</v>
      </c>
      <c r="B45" s="46">
        <f aca="true" t="shared" si="6" ref="B45:I45">B44/B43</f>
        <v>0.9651072651311124</v>
      </c>
      <c r="C45" s="46">
        <f t="shared" si="6"/>
        <v>0.9620342764513412</v>
      </c>
      <c r="D45" s="46">
        <f t="shared" si="6"/>
        <v>1.0267483295505935</v>
      </c>
      <c r="E45" s="46">
        <f t="shared" si="6"/>
        <v>1.008952905092256</v>
      </c>
      <c r="F45" s="46">
        <f t="shared" si="6"/>
        <v>0.9956930250594423</v>
      </c>
      <c r="G45" s="46">
        <f t="shared" si="6"/>
        <v>1.0031084976406919</v>
      </c>
      <c r="H45" s="46">
        <f t="shared" si="6"/>
        <v>0.9816542596858018</v>
      </c>
      <c r="I45" s="46">
        <f t="shared" si="6"/>
        <v>0.9391601189865627</v>
      </c>
    </row>
    <row r="47" spans="1:9" ht="12.75">
      <c r="A47" s="21" t="s">
        <v>213</v>
      </c>
      <c r="B47" s="13" t="s">
        <v>61</v>
      </c>
      <c r="C47" s="13" t="s">
        <v>50</v>
      </c>
      <c r="D47" s="13" t="s">
        <v>51</v>
      </c>
      <c r="E47" s="13" t="s">
        <v>52</v>
      </c>
      <c r="F47" s="13" t="s">
        <v>53</v>
      </c>
      <c r="G47" s="13" t="s">
        <v>54</v>
      </c>
      <c r="H47" s="13" t="s">
        <v>55</v>
      </c>
      <c r="I47" s="13" t="s">
        <v>56</v>
      </c>
    </row>
    <row r="48" spans="1:9" ht="12.75">
      <c r="A48" s="13" t="s">
        <v>207</v>
      </c>
      <c r="B48" s="11">
        <f>'Res1807-1913'!B156</f>
        <v>9718</v>
      </c>
      <c r="C48" s="11">
        <f>'Res1807-1913'!C156</f>
        <v>48516</v>
      </c>
      <c r="D48" s="11">
        <f>'Res1807-1913'!D156</f>
        <v>94948</v>
      </c>
      <c r="E48" s="11">
        <f>'Res1807-1913'!E156</f>
        <v>172639</v>
      </c>
      <c r="F48" s="11">
        <f>'Res1807-1913'!F156</f>
        <v>486205</v>
      </c>
      <c r="G48" s="11">
        <f>'Res1807-1913'!G156</f>
        <v>700393</v>
      </c>
      <c r="H48" s="11">
        <f>'Res1807-1913'!H156</f>
        <v>1434021</v>
      </c>
      <c r="I48" s="11">
        <f>'Res1807-1913'!I156</f>
        <v>2674681</v>
      </c>
    </row>
    <row r="49" spans="1:9" ht="12.75">
      <c r="A49" s="13" t="s">
        <v>208</v>
      </c>
      <c r="B49" s="11">
        <v>10073</v>
      </c>
      <c r="C49" s="11">
        <v>50291</v>
      </c>
      <c r="D49" s="11">
        <v>98460</v>
      </c>
      <c r="E49" s="11">
        <v>178357</v>
      </c>
      <c r="F49" s="11">
        <v>496525</v>
      </c>
      <c r="G49" s="11">
        <v>710690</v>
      </c>
      <c r="H49" s="11">
        <v>1434021</v>
      </c>
      <c r="I49" s="11">
        <v>2674681</v>
      </c>
    </row>
    <row r="50" spans="1:9" ht="12.75">
      <c r="A50" s="13" t="s">
        <v>130</v>
      </c>
      <c r="B50" s="46">
        <f aca="true" t="shared" si="7" ref="B50:I50">B49/B48</f>
        <v>1.0365301502366742</v>
      </c>
      <c r="C50" s="46">
        <f t="shared" si="7"/>
        <v>1.0365858685794378</v>
      </c>
      <c r="D50" s="46">
        <f t="shared" si="7"/>
        <v>1.0369886674811475</v>
      </c>
      <c r="E50" s="46">
        <f t="shared" si="7"/>
        <v>1.0331211371706277</v>
      </c>
      <c r="F50" s="46">
        <f t="shared" si="7"/>
        <v>1.0212256147098446</v>
      </c>
      <c r="G50" s="46">
        <f t="shared" si="7"/>
        <v>1.0147017460197347</v>
      </c>
      <c r="H50" s="46">
        <f t="shared" si="7"/>
        <v>1</v>
      </c>
      <c r="I50" s="46">
        <f t="shared" si="7"/>
        <v>1</v>
      </c>
    </row>
    <row r="51" spans="1:9" ht="12.75">
      <c r="A51" s="21" t="s">
        <v>213</v>
      </c>
      <c r="B51" s="13" t="s">
        <v>62</v>
      </c>
      <c r="C51" s="13" t="s">
        <v>63</v>
      </c>
      <c r="D51" s="13" t="s">
        <v>64</v>
      </c>
      <c r="E51" s="13" t="s">
        <v>65</v>
      </c>
      <c r="F51" s="13" t="s">
        <v>66</v>
      </c>
      <c r="G51" s="13" t="s">
        <v>67</v>
      </c>
      <c r="H51" s="13" t="s">
        <v>68</v>
      </c>
      <c r="I51" s="13" t="s">
        <v>56</v>
      </c>
    </row>
    <row r="52" spans="1:9" ht="12.75">
      <c r="A52" s="13" t="s">
        <v>207</v>
      </c>
      <c r="B52" s="11">
        <f>(100*B48-20*C48)/80</f>
        <v>18.5</v>
      </c>
      <c r="C52" s="11">
        <f>(20*C48-10*D48)/10</f>
        <v>2084</v>
      </c>
      <c r="D52" s="11">
        <f>(10*D48-5*E48)/5</f>
        <v>17257</v>
      </c>
      <c r="E52" s="11">
        <f>(5*E48-F48)/4</f>
        <v>94247.5</v>
      </c>
      <c r="F52" s="11">
        <f>(2*F48-G48)/1</f>
        <v>272017</v>
      </c>
      <c r="G52" s="11">
        <f>(5*G48-H48)/4</f>
        <v>516986</v>
      </c>
      <c r="H52" s="11">
        <f>(10*H48-I48)/9</f>
        <v>1296169.888888889</v>
      </c>
      <c r="I52" s="11">
        <f>I48</f>
        <v>2674681</v>
      </c>
    </row>
    <row r="53" spans="1:9" ht="12.75">
      <c r="A53" s="13" t="s">
        <v>208</v>
      </c>
      <c r="B53" s="11">
        <f>(100*B49-20*C49)/80</f>
        <v>18.5</v>
      </c>
      <c r="C53" s="11">
        <f>(20*C49-10*D49)/10</f>
        <v>2122</v>
      </c>
      <c r="D53" s="11">
        <f>(10*D49-5*E49)/5</f>
        <v>18563</v>
      </c>
      <c r="E53" s="11">
        <f>(5*E49-F49)/4</f>
        <v>98815</v>
      </c>
      <c r="F53" s="11">
        <f>(2*F49-G49)/1</f>
        <v>282360</v>
      </c>
      <c r="G53" s="11">
        <f>(5*G49-H49)/4</f>
        <v>529857.25</v>
      </c>
      <c r="H53" s="11">
        <f>(10*H49-I49)/9</f>
        <v>1296169.888888889</v>
      </c>
      <c r="I53" s="11">
        <f>I49</f>
        <v>2674681</v>
      </c>
    </row>
    <row r="54" spans="1:9" ht="12.75">
      <c r="A54" s="13" t="s">
        <v>130</v>
      </c>
      <c r="B54" s="46">
        <f aca="true" t="shared" si="8" ref="B54:I54">B53/B52</f>
        <v>1</v>
      </c>
      <c r="C54" s="46">
        <f t="shared" si="8"/>
        <v>1.0182341650671785</v>
      </c>
      <c r="D54" s="46">
        <f t="shared" si="8"/>
        <v>1.0756794344324043</v>
      </c>
      <c r="E54" s="46">
        <f t="shared" si="8"/>
        <v>1.0484628239475848</v>
      </c>
      <c r="F54" s="46">
        <f t="shared" si="8"/>
        <v>1.0380233588341905</v>
      </c>
      <c r="G54" s="46">
        <f t="shared" si="8"/>
        <v>1.024896709001791</v>
      </c>
      <c r="H54" s="46">
        <f t="shared" si="8"/>
        <v>1</v>
      </c>
      <c r="I54" s="46">
        <f t="shared" si="8"/>
        <v>1</v>
      </c>
    </row>
    <row r="55" spans="1:9" ht="12.75">
      <c r="A55" s="21" t="s">
        <v>214</v>
      </c>
      <c r="B55" s="13" t="s">
        <v>49</v>
      </c>
      <c r="C55" s="13" t="s">
        <v>11</v>
      </c>
      <c r="D55" s="13" t="s">
        <v>12</v>
      </c>
      <c r="E55" s="13" t="s">
        <v>13</v>
      </c>
      <c r="F55" s="13" t="s">
        <v>14</v>
      </c>
      <c r="G55" s="13" t="s">
        <v>15</v>
      </c>
      <c r="H55" s="13" t="s">
        <v>16</v>
      </c>
      <c r="I55" s="13"/>
    </row>
    <row r="56" spans="1:9" ht="12.75">
      <c r="A56" s="13" t="s">
        <v>207</v>
      </c>
      <c r="B56" s="11">
        <f>'Res1807-1913'!B198</f>
        <v>353</v>
      </c>
      <c r="C56" s="11">
        <f>'Res1807-1913'!C198</f>
        <v>6640</v>
      </c>
      <c r="D56" s="11">
        <f>'Res1807-1913'!D198</f>
        <v>34999</v>
      </c>
      <c r="E56" s="11">
        <f>'Res1807-1913'!E198</f>
        <v>223060</v>
      </c>
      <c r="F56" s="11">
        <f>'Res1807-1913'!F198</f>
        <v>337324</v>
      </c>
      <c r="G56" s="11">
        <f>'Res1807-1913'!G198</f>
        <v>911212</v>
      </c>
      <c r="H56" s="11">
        <f>'Res1807-1913'!H198</f>
        <v>2050398</v>
      </c>
      <c r="I56" s="11"/>
    </row>
    <row r="57" spans="1:9" ht="12.75">
      <c r="A57" s="13" t="s">
        <v>208</v>
      </c>
      <c r="B57" s="11">
        <v>357</v>
      </c>
      <c r="C57" s="11">
        <v>6952</v>
      </c>
      <c r="D57" s="11">
        <v>37480</v>
      </c>
      <c r="E57" s="11">
        <v>233421</v>
      </c>
      <c r="F57" s="11">
        <v>348000</v>
      </c>
      <c r="G57" s="11">
        <v>911212</v>
      </c>
      <c r="H57" s="11">
        <v>2050938</v>
      </c>
      <c r="I57" s="11"/>
    </row>
    <row r="58" spans="1:9" ht="12.75">
      <c r="A58" s="13" t="s">
        <v>130</v>
      </c>
      <c r="B58" s="46">
        <f aca="true" t="shared" si="9" ref="B58:H58">B57/B56</f>
        <v>1.0113314447592068</v>
      </c>
      <c r="C58" s="46">
        <f t="shared" si="9"/>
        <v>1.046987951807229</v>
      </c>
      <c r="D58" s="46">
        <f t="shared" si="9"/>
        <v>1.0708877396497043</v>
      </c>
      <c r="E58" s="46">
        <f t="shared" si="9"/>
        <v>1.0464493858154758</v>
      </c>
      <c r="F58" s="46">
        <f t="shared" si="9"/>
        <v>1.0316490970105892</v>
      </c>
      <c r="G58" s="46">
        <f t="shared" si="9"/>
        <v>1</v>
      </c>
      <c r="H58" s="46">
        <f t="shared" si="9"/>
        <v>1.0002633635030858</v>
      </c>
      <c r="I58" s="46"/>
    </row>
    <row r="59" spans="1:9" ht="12.75">
      <c r="A59" s="21" t="s">
        <v>215</v>
      </c>
      <c r="B59" s="13" t="s">
        <v>61</v>
      </c>
      <c r="C59" s="13" t="s">
        <v>50</v>
      </c>
      <c r="D59" s="13" t="s">
        <v>51</v>
      </c>
      <c r="E59" s="13" t="s">
        <v>52</v>
      </c>
      <c r="F59" s="13" t="s">
        <v>53</v>
      </c>
      <c r="G59" s="13" t="s">
        <v>54</v>
      </c>
      <c r="H59" s="13" t="s">
        <v>55</v>
      </c>
      <c r="I59" s="13" t="s">
        <v>56</v>
      </c>
    </row>
    <row r="60" spans="1:9" ht="12.75">
      <c r="A60" s="13" t="s">
        <v>207</v>
      </c>
      <c r="B60" s="12">
        <f>100*B48/$B48</f>
        <v>100</v>
      </c>
      <c r="C60" s="12">
        <f>20*C48/$B48</f>
        <v>99.84770528915415</v>
      </c>
      <c r="D60" s="12">
        <f>10*D48/$B48</f>
        <v>97.7032311175139</v>
      </c>
      <c r="E60" s="12">
        <f>5*E48/$B48</f>
        <v>88.82434657336901</v>
      </c>
      <c r="F60" s="12">
        <f>1*F48/$B48</f>
        <v>50.031385058654045</v>
      </c>
      <c r="G60" s="12">
        <f>0.5*G48/$B48</f>
        <v>36.035861288330935</v>
      </c>
      <c r="H60" s="12">
        <f>0.1*H48/$B48</f>
        <v>14.756338752829802</v>
      </c>
      <c r="I60" s="12">
        <f>0.01*I48/$B48</f>
        <v>2.7522957398641696</v>
      </c>
    </row>
    <row r="61" spans="1:9" ht="12.75">
      <c r="A61" s="13" t="s">
        <v>208</v>
      </c>
      <c r="B61" s="12">
        <f>100*B49/$B49</f>
        <v>100</v>
      </c>
      <c r="C61" s="12">
        <f>20*C49/$B49</f>
        <v>99.85307257023727</v>
      </c>
      <c r="D61" s="12">
        <f>10*D49/$B49</f>
        <v>97.74645090836891</v>
      </c>
      <c r="E61" s="12">
        <f>5*E49/$B49</f>
        <v>88.53221483172838</v>
      </c>
      <c r="F61" s="12">
        <f>1*F49/$B49</f>
        <v>49.2926635560409</v>
      </c>
      <c r="G61" s="12">
        <f>0.5*G49/$B49</f>
        <v>35.27697806016083</v>
      </c>
      <c r="H61" s="12">
        <f>0.1*H49/$B49</f>
        <v>14.236285118633973</v>
      </c>
      <c r="I61" s="12">
        <f>0.01*I49/$B49</f>
        <v>2.655297329494689</v>
      </c>
    </row>
    <row r="62" spans="1:9" ht="12.75">
      <c r="A62" s="13" t="s">
        <v>130</v>
      </c>
      <c r="B62" s="46">
        <f aca="true" t="shared" si="10" ref="B62:I62">B61/B60</f>
        <v>1</v>
      </c>
      <c r="C62" s="46">
        <f t="shared" si="10"/>
        <v>1.0000537546763602</v>
      </c>
      <c r="D62" s="46">
        <f t="shared" si="10"/>
        <v>1.000442357845904</v>
      </c>
      <c r="E62" s="46">
        <f t="shared" si="10"/>
        <v>0.9967111298544783</v>
      </c>
      <c r="F62" s="46">
        <f t="shared" si="10"/>
        <v>0.9852348380572094</v>
      </c>
      <c r="G62" s="46">
        <f t="shared" si="10"/>
        <v>0.9789408882974071</v>
      </c>
      <c r="H62" s="46">
        <f t="shared" si="10"/>
        <v>0.9647572719150203</v>
      </c>
      <c r="I62" s="46">
        <f t="shared" si="10"/>
        <v>0.9647572719150204</v>
      </c>
    </row>
    <row r="63" spans="1:9" ht="12.75">
      <c r="A63" s="21" t="s">
        <v>215</v>
      </c>
      <c r="B63" s="13" t="s">
        <v>62</v>
      </c>
      <c r="C63" s="13" t="s">
        <v>63</v>
      </c>
      <c r="D63" s="13" t="s">
        <v>64</v>
      </c>
      <c r="E63" s="13" t="s">
        <v>65</v>
      </c>
      <c r="F63" s="13" t="s">
        <v>66</v>
      </c>
      <c r="G63" s="13" t="s">
        <v>67</v>
      </c>
      <c r="H63" s="13" t="s">
        <v>68</v>
      </c>
      <c r="I63" s="13" t="s">
        <v>56</v>
      </c>
    </row>
    <row r="64" spans="1:9" ht="12.75">
      <c r="A64" s="13" t="s">
        <v>207</v>
      </c>
      <c r="B64" s="12">
        <f>B60-C60</f>
        <v>0.152294710845851</v>
      </c>
      <c r="C64" s="12">
        <f aca="true" t="shared" si="11" ref="C64:I64">C60-D60</f>
        <v>2.1444741716402547</v>
      </c>
      <c r="D64" s="12">
        <f t="shared" si="11"/>
        <v>8.878884544144881</v>
      </c>
      <c r="E64" s="12">
        <f t="shared" si="11"/>
        <v>38.79296151471497</v>
      </c>
      <c r="F64" s="12">
        <f t="shared" si="11"/>
        <v>13.99552377032311</v>
      </c>
      <c r="G64" s="12">
        <f t="shared" si="11"/>
        <v>21.279522535501133</v>
      </c>
      <c r="H64" s="12">
        <f t="shared" si="11"/>
        <v>12.004043012965631</v>
      </c>
      <c r="I64" s="12">
        <f t="shared" si="11"/>
        <v>2.7522957398641696</v>
      </c>
    </row>
    <row r="65" spans="1:9" ht="12.75">
      <c r="A65" s="13" t="s">
        <v>208</v>
      </c>
      <c r="B65" s="12">
        <f aca="true" t="shared" si="12" ref="B65:I65">B61-C61</f>
        <v>0.14692742976272655</v>
      </c>
      <c r="C65" s="12">
        <f t="shared" si="12"/>
        <v>2.1066216618683598</v>
      </c>
      <c r="D65" s="12">
        <f t="shared" si="12"/>
        <v>9.214236076640532</v>
      </c>
      <c r="E65" s="12">
        <f t="shared" si="12"/>
        <v>39.23955127568748</v>
      </c>
      <c r="F65" s="12">
        <f t="shared" si="12"/>
        <v>14.01568549588007</v>
      </c>
      <c r="G65" s="12">
        <f t="shared" si="12"/>
        <v>21.040692941526856</v>
      </c>
      <c r="H65" s="12">
        <f t="shared" si="12"/>
        <v>11.580987789139284</v>
      </c>
      <c r="I65" s="12">
        <f t="shared" si="12"/>
        <v>2.655297329494689</v>
      </c>
    </row>
    <row r="66" spans="1:9" ht="12.75">
      <c r="A66" s="13" t="s">
        <v>130</v>
      </c>
      <c r="B66" s="46">
        <f aca="true" t="shared" si="13" ref="B66:I66">B65/B64</f>
        <v>0.9647572719149972</v>
      </c>
      <c r="C66" s="46">
        <f t="shared" si="13"/>
        <v>0.9823488152608794</v>
      </c>
      <c r="D66" s="46">
        <f t="shared" si="13"/>
        <v>1.0377695566180998</v>
      </c>
      <c r="E66" s="46">
        <f t="shared" si="13"/>
        <v>1.01151213373599</v>
      </c>
      <c r="F66" s="46">
        <f t="shared" si="13"/>
        <v>1.0014405838529397</v>
      </c>
      <c r="G66" s="46">
        <f t="shared" si="13"/>
        <v>0.9887765529712506</v>
      </c>
      <c r="H66" s="46">
        <f t="shared" si="13"/>
        <v>0.9647572719150204</v>
      </c>
      <c r="I66" s="46">
        <f t="shared" si="13"/>
        <v>0.9647572719150204</v>
      </c>
    </row>
    <row r="68" spans="1:9" ht="12.75">
      <c r="A68" s="21" t="s">
        <v>216</v>
      </c>
      <c r="B68" s="13" t="s">
        <v>61</v>
      </c>
      <c r="C68" s="13" t="s">
        <v>50</v>
      </c>
      <c r="D68" s="13" t="s">
        <v>51</v>
      </c>
      <c r="E68" s="13" t="s">
        <v>52</v>
      </c>
      <c r="F68" s="13" t="s">
        <v>53</v>
      </c>
      <c r="G68" s="13" t="s">
        <v>54</v>
      </c>
      <c r="H68" s="13" t="s">
        <v>55</v>
      </c>
      <c r="I68" s="13" t="s">
        <v>56</v>
      </c>
    </row>
    <row r="69" spans="1:9" ht="12.75">
      <c r="A69" s="13" t="s">
        <v>207</v>
      </c>
      <c r="B69" s="11">
        <f>'Res1807-1913'!B157</f>
        <v>13001</v>
      </c>
      <c r="C69" s="11">
        <f>'Res1807-1913'!C157</f>
        <v>64962</v>
      </c>
      <c r="D69" s="11">
        <f>'Res1807-1913'!D157</f>
        <v>127780</v>
      </c>
      <c r="E69" s="11">
        <f>'Res1807-1913'!E157</f>
        <v>235881</v>
      </c>
      <c r="F69" s="11">
        <f>'Res1807-1913'!F157</f>
        <v>725321</v>
      </c>
      <c r="G69" s="11">
        <f>'Res1807-1913'!G157</f>
        <v>1086630</v>
      </c>
      <c r="H69" s="11">
        <f>'Res1807-1913'!H157</f>
        <v>2773768</v>
      </c>
      <c r="I69" s="11">
        <f>'Res1807-1913'!I157</f>
        <v>9451051</v>
      </c>
    </row>
    <row r="70" spans="1:9" ht="12.75">
      <c r="A70" s="13" t="s">
        <v>208</v>
      </c>
      <c r="B70" s="11">
        <v>14105</v>
      </c>
      <c r="C70" s="11">
        <v>70483</v>
      </c>
      <c r="D70" s="11">
        <v>138809</v>
      </c>
      <c r="E70" s="11">
        <v>256534</v>
      </c>
      <c r="F70" s="11">
        <v>779174</v>
      </c>
      <c r="G70" s="11">
        <v>1155607</v>
      </c>
      <c r="H70" s="11">
        <v>2861580</v>
      </c>
      <c r="I70" s="11">
        <v>9551051</v>
      </c>
    </row>
    <row r="71" spans="1:9" ht="12.75">
      <c r="A71" s="13" t="s">
        <v>130</v>
      </c>
      <c r="B71" s="46">
        <f aca="true" t="shared" si="14" ref="B71:I71">B70/B69</f>
        <v>1.084916544881163</v>
      </c>
      <c r="C71" s="46">
        <f t="shared" si="14"/>
        <v>1.084988146916659</v>
      </c>
      <c r="D71" s="46">
        <f t="shared" si="14"/>
        <v>1.086312411958053</v>
      </c>
      <c r="E71" s="46">
        <f t="shared" si="14"/>
        <v>1.0875568612987057</v>
      </c>
      <c r="F71" s="46">
        <f t="shared" si="14"/>
        <v>1.074247126444705</v>
      </c>
      <c r="G71" s="46">
        <f t="shared" si="14"/>
        <v>1.0634779087637927</v>
      </c>
      <c r="H71" s="46">
        <f t="shared" si="14"/>
        <v>1.0316580189835631</v>
      </c>
      <c r="I71" s="46">
        <f t="shared" si="14"/>
        <v>1.010580833814144</v>
      </c>
    </row>
    <row r="72" spans="1:9" ht="12.75">
      <c r="A72" s="21" t="s">
        <v>216</v>
      </c>
      <c r="B72" s="13" t="s">
        <v>62</v>
      </c>
      <c r="C72" s="13" t="s">
        <v>63</v>
      </c>
      <c r="D72" s="13" t="s">
        <v>64</v>
      </c>
      <c r="E72" s="13" t="s">
        <v>65</v>
      </c>
      <c r="F72" s="13" t="s">
        <v>66</v>
      </c>
      <c r="G72" s="13" t="s">
        <v>67</v>
      </c>
      <c r="H72" s="13" t="s">
        <v>68</v>
      </c>
      <c r="I72" s="13" t="s">
        <v>56</v>
      </c>
    </row>
    <row r="73" spans="1:9" ht="12.75">
      <c r="A73" s="13" t="s">
        <v>207</v>
      </c>
      <c r="B73" s="11">
        <f>(100*B69-20*C69)/80</f>
        <v>10.75</v>
      </c>
      <c r="C73" s="11">
        <f>(20*C69-10*D69)/10</f>
        <v>2144</v>
      </c>
      <c r="D73" s="11">
        <f>(10*D69-5*E69)/5</f>
        <v>19679</v>
      </c>
      <c r="E73" s="11">
        <f>(5*E69-F69)/4</f>
        <v>113521</v>
      </c>
      <c r="F73" s="11">
        <f>(2*F69-G69)/1</f>
        <v>364012</v>
      </c>
      <c r="G73" s="11">
        <f>(5*G69-H69)/4</f>
        <v>664845.5</v>
      </c>
      <c r="H73" s="11">
        <f>(10*H69-I69)/9</f>
        <v>2031847.6666666667</v>
      </c>
      <c r="I73" s="11">
        <f>I69</f>
        <v>9451051</v>
      </c>
    </row>
    <row r="74" spans="1:9" ht="12.75">
      <c r="A74" s="13" t="s">
        <v>208</v>
      </c>
      <c r="B74" s="11">
        <f>(100*B70-20*C70)/80</f>
        <v>10.5</v>
      </c>
      <c r="C74" s="11">
        <f>(20*C70-10*D70)/10</f>
        <v>2157</v>
      </c>
      <c r="D74" s="11">
        <f>(10*D70-5*E70)/5</f>
        <v>21084</v>
      </c>
      <c r="E74" s="11">
        <f>(5*E70-F70)/4</f>
        <v>125874</v>
      </c>
      <c r="F74" s="11">
        <f>(2*F70-G70)/1</f>
        <v>402741</v>
      </c>
      <c r="G74" s="11">
        <f>(5*G70-H70)/4</f>
        <v>729113.75</v>
      </c>
      <c r="H74" s="11">
        <f>(10*H70-I70)/9</f>
        <v>2118305.4444444445</v>
      </c>
      <c r="I74" s="11">
        <f>I70</f>
        <v>9551051</v>
      </c>
    </row>
    <row r="75" spans="1:9" ht="12.75">
      <c r="A75" s="13" t="s">
        <v>130</v>
      </c>
      <c r="B75" s="46">
        <f aca="true" t="shared" si="15" ref="B75:I75">B74/B73</f>
        <v>0.9767441860465116</v>
      </c>
      <c r="C75" s="46">
        <f t="shared" si="15"/>
        <v>1.006063432835821</v>
      </c>
      <c r="D75" s="46">
        <f t="shared" si="15"/>
        <v>1.071395904263428</v>
      </c>
      <c r="E75" s="46">
        <f t="shared" si="15"/>
        <v>1.1088168708873247</v>
      </c>
      <c r="F75" s="46">
        <f t="shared" si="15"/>
        <v>1.1063948441260179</v>
      </c>
      <c r="G75" s="46">
        <f t="shared" si="15"/>
        <v>1.0966664435571873</v>
      </c>
      <c r="H75" s="46">
        <f t="shared" si="15"/>
        <v>1.042551308937257</v>
      </c>
      <c r="I75" s="46">
        <f t="shared" si="15"/>
        <v>1.010580833814144</v>
      </c>
    </row>
    <row r="76" spans="1:9" ht="12.75">
      <c r="A76" s="21" t="s">
        <v>217</v>
      </c>
      <c r="B76" s="13" t="s">
        <v>49</v>
      </c>
      <c r="C76" s="13" t="s">
        <v>11</v>
      </c>
      <c r="D76" s="13" t="s">
        <v>12</v>
      </c>
      <c r="E76" s="13" t="s">
        <v>13</v>
      </c>
      <c r="F76" s="13" t="s">
        <v>14</v>
      </c>
      <c r="G76" s="13" t="s">
        <v>15</v>
      </c>
      <c r="H76" s="13" t="s">
        <v>16</v>
      </c>
      <c r="I76" s="13"/>
    </row>
    <row r="77" spans="1:9" ht="12.75">
      <c r="A77" s="13" t="s">
        <v>207</v>
      </c>
      <c r="B77" s="11">
        <f>'Res1807-1913'!B199</f>
        <v>296</v>
      </c>
      <c r="C77" s="11">
        <f>'Res1807-1913'!C199</f>
        <v>7662</v>
      </c>
      <c r="D77" s="11">
        <f>'Res1807-1913'!D199</f>
        <v>41420</v>
      </c>
      <c r="E77" s="11">
        <f>'Res1807-1913'!E199</f>
        <v>292298</v>
      </c>
      <c r="F77" s="11">
        <f>'Res1807-1913'!F199</f>
        <v>451364</v>
      </c>
      <c r="G77" s="11">
        <f>'Res1807-1913'!G199</f>
        <v>1035659</v>
      </c>
      <c r="H77" s="11">
        <f>'Res1807-1913'!H199</f>
        <v>7036204</v>
      </c>
      <c r="I77" s="11"/>
    </row>
    <row r="78" spans="1:9" ht="12.75">
      <c r="A78" s="13" t="s">
        <v>208</v>
      </c>
      <c r="B78" s="11">
        <v>296</v>
      </c>
      <c r="C78" s="11">
        <v>7794</v>
      </c>
      <c r="D78" s="11">
        <v>44289</v>
      </c>
      <c r="E78" s="11">
        <v>322000</v>
      </c>
      <c r="F78" s="11">
        <v>513425</v>
      </c>
      <c r="G78" s="11">
        <v>1083300</v>
      </c>
      <c r="H78" s="11">
        <v>7236204</v>
      </c>
      <c r="I78" s="11"/>
    </row>
    <row r="79" spans="1:9" ht="12.75">
      <c r="A79" s="13" t="s">
        <v>130</v>
      </c>
      <c r="B79" s="46">
        <f aca="true" t="shared" si="16" ref="B79:H79">B78/B77</f>
        <v>1</v>
      </c>
      <c r="C79" s="46">
        <f t="shared" si="16"/>
        <v>1.0172278778386845</v>
      </c>
      <c r="D79" s="46">
        <f t="shared" si="16"/>
        <v>1.0692660550458715</v>
      </c>
      <c r="E79" s="46">
        <f t="shared" si="16"/>
        <v>1.1016154746183688</v>
      </c>
      <c r="F79" s="46">
        <f t="shared" si="16"/>
        <v>1.1374965659644987</v>
      </c>
      <c r="G79" s="46">
        <f t="shared" si="16"/>
        <v>1.046000662380185</v>
      </c>
      <c r="H79" s="46">
        <f t="shared" si="16"/>
        <v>1.0284244174842003</v>
      </c>
      <c r="I79" s="46"/>
    </row>
    <row r="80" spans="1:9" ht="12.75">
      <c r="A80" s="21" t="s">
        <v>218</v>
      </c>
      <c r="B80" s="13" t="s">
        <v>61</v>
      </c>
      <c r="C80" s="13" t="s">
        <v>50</v>
      </c>
      <c r="D80" s="13" t="s">
        <v>51</v>
      </c>
      <c r="E80" s="13" t="s">
        <v>52</v>
      </c>
      <c r="F80" s="13" t="s">
        <v>53</v>
      </c>
      <c r="G80" s="13" t="s">
        <v>54</v>
      </c>
      <c r="H80" s="13" t="s">
        <v>55</v>
      </c>
      <c r="I80" s="13" t="s">
        <v>56</v>
      </c>
    </row>
    <row r="81" spans="1:9" ht="12.75">
      <c r="A81" s="13" t="s">
        <v>207</v>
      </c>
      <c r="B81" s="12">
        <f>100*B69/$B69</f>
        <v>100</v>
      </c>
      <c r="C81" s="12">
        <f>20*C69/$B69</f>
        <v>99.93385124221214</v>
      </c>
      <c r="D81" s="12">
        <f>10*D69/$B69</f>
        <v>98.28474732712868</v>
      </c>
      <c r="E81" s="12">
        <f>5*E69/$B69</f>
        <v>90.71648334743482</v>
      </c>
      <c r="F81" s="12">
        <f>1*F69/$B69</f>
        <v>55.789631566802555</v>
      </c>
      <c r="G81" s="12">
        <f>0.5*G69/$B69</f>
        <v>41.7902469040843</v>
      </c>
      <c r="H81" s="12">
        <f>0.1*H69/$B69</f>
        <v>21.3350357664795</v>
      </c>
      <c r="I81" s="12">
        <f>0.01*I69/$B69</f>
        <v>7.269480039996923</v>
      </c>
    </row>
    <row r="82" spans="1:9" ht="12.75">
      <c r="A82" s="13" t="s">
        <v>208</v>
      </c>
      <c r="B82" s="12">
        <f>100*B70/$B70</f>
        <v>100</v>
      </c>
      <c r="C82" s="12">
        <f>20*C70/$B70</f>
        <v>99.94044665012407</v>
      </c>
      <c r="D82" s="12">
        <f>10*D70/$B70</f>
        <v>98.41120170152428</v>
      </c>
      <c r="E82" s="12">
        <f>5*E70/$B70</f>
        <v>90.937256292095</v>
      </c>
      <c r="F82" s="12">
        <f>1*F70/$B70</f>
        <v>55.240978376462245</v>
      </c>
      <c r="G82" s="12">
        <f>0.5*G70/$B70</f>
        <v>40.96444523218717</v>
      </c>
      <c r="H82" s="12">
        <f>0.1*H70/$B70</f>
        <v>20.287699397376816</v>
      </c>
      <c r="I82" s="12">
        <f>0.01*I70/$B70</f>
        <v>6.771393831974477</v>
      </c>
    </row>
    <row r="83" spans="1:9" ht="12.75">
      <c r="A83" s="13" t="s">
        <v>130</v>
      </c>
      <c r="B83" s="46">
        <f aca="true" t="shared" si="17" ref="B83:I83">B82/B81</f>
        <v>1</v>
      </c>
      <c r="C83" s="46">
        <f t="shared" si="17"/>
        <v>1.0000659977358017</v>
      </c>
      <c r="D83" s="46">
        <f t="shared" si="17"/>
        <v>1.0012866123974935</v>
      </c>
      <c r="E83" s="46">
        <f t="shared" si="17"/>
        <v>1.0024336585426779</v>
      </c>
      <c r="F83" s="46">
        <f t="shared" si="17"/>
        <v>0.99016567819267</v>
      </c>
      <c r="G83" s="46">
        <f t="shared" si="17"/>
        <v>0.9802393684394235</v>
      </c>
      <c r="H83" s="46">
        <f t="shared" si="17"/>
        <v>0.9509100251545768</v>
      </c>
      <c r="I83" s="46">
        <f t="shared" si="17"/>
        <v>0.9314825537339728</v>
      </c>
    </row>
    <row r="84" spans="1:9" ht="12.75">
      <c r="A84" s="21" t="s">
        <v>218</v>
      </c>
      <c r="B84" s="13" t="s">
        <v>62</v>
      </c>
      <c r="C84" s="13" t="s">
        <v>63</v>
      </c>
      <c r="D84" s="13" t="s">
        <v>64</v>
      </c>
      <c r="E84" s="13" t="s">
        <v>65</v>
      </c>
      <c r="F84" s="13" t="s">
        <v>66</v>
      </c>
      <c r="G84" s="13" t="s">
        <v>67</v>
      </c>
      <c r="H84" s="13" t="s">
        <v>68</v>
      </c>
      <c r="I84" s="13" t="s">
        <v>56</v>
      </c>
    </row>
    <row r="85" spans="1:9" ht="12.75">
      <c r="A85" s="13" t="s">
        <v>207</v>
      </c>
      <c r="B85" s="12">
        <f>B81-C81</f>
        <v>0.06614875778785745</v>
      </c>
      <c r="C85" s="12">
        <f aca="true" t="shared" si="18" ref="C85:I85">C81-D81</f>
        <v>1.649103915083458</v>
      </c>
      <c r="D85" s="12">
        <f t="shared" si="18"/>
        <v>7.568263979693867</v>
      </c>
      <c r="E85" s="12">
        <f t="shared" si="18"/>
        <v>34.92685178063226</v>
      </c>
      <c r="F85" s="12">
        <f t="shared" si="18"/>
        <v>13.999384662718256</v>
      </c>
      <c r="G85" s="12">
        <f t="shared" si="18"/>
        <v>20.4552111376048</v>
      </c>
      <c r="H85" s="12">
        <f t="shared" si="18"/>
        <v>14.065555726482577</v>
      </c>
      <c r="I85" s="12">
        <f t="shared" si="18"/>
        <v>7.269480039996923</v>
      </c>
    </row>
    <row r="86" spans="1:9" ht="12.75">
      <c r="A86" s="13" t="s">
        <v>208</v>
      </c>
      <c r="B86" s="12">
        <f aca="true" t="shared" si="19" ref="B86:I86">B82-C82</f>
        <v>0.05955334987592664</v>
      </c>
      <c r="C86" s="12">
        <f t="shared" si="19"/>
        <v>1.5292449485997963</v>
      </c>
      <c r="D86" s="12">
        <f t="shared" si="19"/>
        <v>7.473945409429277</v>
      </c>
      <c r="E86" s="12">
        <f t="shared" si="19"/>
        <v>35.696277915632756</v>
      </c>
      <c r="F86" s="12">
        <f t="shared" si="19"/>
        <v>14.276533144275078</v>
      </c>
      <c r="G86" s="12">
        <f t="shared" si="19"/>
        <v>20.67674583481035</v>
      </c>
      <c r="H86" s="12">
        <f t="shared" si="19"/>
        <v>13.51630556540234</v>
      </c>
      <c r="I86" s="12">
        <f t="shared" si="19"/>
        <v>6.771393831974477</v>
      </c>
    </row>
    <row r="87" spans="1:9" ht="12.75">
      <c r="A87" s="13" t="s">
        <v>130</v>
      </c>
      <c r="B87" s="46">
        <f aca="true" t="shared" si="20" ref="B87:I87">B86/B85</f>
        <v>0.9002943043453269</v>
      </c>
      <c r="C87" s="46">
        <f t="shared" si="20"/>
        <v>0.9273187302586714</v>
      </c>
      <c r="D87" s="46">
        <f t="shared" si="20"/>
        <v>0.9875376215050568</v>
      </c>
      <c r="E87" s="46">
        <f t="shared" si="20"/>
        <v>1.0220296446938042</v>
      </c>
      <c r="F87" s="46">
        <f t="shared" si="20"/>
        <v>1.0197971902504326</v>
      </c>
      <c r="G87" s="46">
        <f t="shared" si="20"/>
        <v>1.0108302327321512</v>
      </c>
      <c r="H87" s="46">
        <f t="shared" si="20"/>
        <v>0.9609506960293</v>
      </c>
      <c r="I87" s="46">
        <f t="shared" si="20"/>
        <v>0.9314825537339728</v>
      </c>
    </row>
    <row r="89" spans="1:9" ht="12.75">
      <c r="A89" s="21" t="s">
        <v>219</v>
      </c>
      <c r="B89" s="13" t="s">
        <v>61</v>
      </c>
      <c r="C89" s="13" t="s">
        <v>50</v>
      </c>
      <c r="D89" s="13" t="s">
        <v>51</v>
      </c>
      <c r="E89" s="13" t="s">
        <v>52</v>
      </c>
      <c r="F89" s="13" t="s">
        <v>53</v>
      </c>
      <c r="G89" s="13" t="s">
        <v>54</v>
      </c>
      <c r="H89" s="13" t="s">
        <v>55</v>
      </c>
      <c r="I89" s="13" t="s">
        <v>56</v>
      </c>
    </row>
    <row r="90" spans="1:9" ht="12.75">
      <c r="A90" s="13" t="s">
        <v>207</v>
      </c>
      <c r="B90" s="11">
        <f>'Res1807-1913'!B158</f>
        <v>16619</v>
      </c>
      <c r="C90" s="11">
        <f>'Res1807-1913'!C158</f>
        <v>82866</v>
      </c>
      <c r="D90" s="11">
        <f>'Res1807-1913'!D158</f>
        <v>161003</v>
      </c>
      <c r="E90" s="11">
        <f>'Res1807-1913'!E158</f>
        <v>292164</v>
      </c>
      <c r="F90" s="11">
        <f>'Res1807-1913'!F158</f>
        <v>848086</v>
      </c>
      <c r="G90" s="11">
        <f>'Res1807-1913'!G158</f>
        <v>1187798</v>
      </c>
      <c r="H90" s="11">
        <f>'Res1807-1913'!H158</f>
        <v>2218707</v>
      </c>
      <c r="I90" s="11">
        <f>'Res1807-1913'!I158</f>
        <v>4040818</v>
      </c>
    </row>
    <row r="91" spans="1:9" ht="12.75">
      <c r="A91" s="13" t="s">
        <v>208</v>
      </c>
      <c r="B91" s="11">
        <v>17708</v>
      </c>
      <c r="C91" s="11">
        <v>88313</v>
      </c>
      <c r="D91" s="11">
        <v>171814</v>
      </c>
      <c r="E91" s="11">
        <v>311427</v>
      </c>
      <c r="F91" s="11">
        <v>894942</v>
      </c>
      <c r="G91" s="11">
        <v>1244101</v>
      </c>
      <c r="H91" s="11">
        <v>2253302</v>
      </c>
      <c r="I91" s="11">
        <v>4040818</v>
      </c>
    </row>
    <row r="92" spans="1:9" ht="12.75">
      <c r="A92" s="13" t="s">
        <v>130</v>
      </c>
      <c r="B92" s="46">
        <f aca="true" t="shared" si="21" ref="B92:I92">B91/B90</f>
        <v>1.0655274083879898</v>
      </c>
      <c r="C92" s="46">
        <f t="shared" si="21"/>
        <v>1.0657326285810826</v>
      </c>
      <c r="D92" s="46">
        <f t="shared" si="21"/>
        <v>1.0671478171214202</v>
      </c>
      <c r="E92" s="46">
        <f t="shared" si="21"/>
        <v>1.0659321476978683</v>
      </c>
      <c r="F92" s="46">
        <f t="shared" si="21"/>
        <v>1.055249113887035</v>
      </c>
      <c r="G92" s="46">
        <f t="shared" si="21"/>
        <v>1.0474011574358604</v>
      </c>
      <c r="H92" s="46">
        <f t="shared" si="21"/>
        <v>1.0155924148614486</v>
      </c>
      <c r="I92" s="46">
        <f t="shared" si="21"/>
        <v>1</v>
      </c>
    </row>
    <row r="93" spans="1:9" ht="12.75">
      <c r="A93" s="21" t="s">
        <v>219</v>
      </c>
      <c r="B93" s="13" t="s">
        <v>62</v>
      </c>
      <c r="C93" s="13" t="s">
        <v>63</v>
      </c>
      <c r="D93" s="13" t="s">
        <v>64</v>
      </c>
      <c r="E93" s="13" t="s">
        <v>65</v>
      </c>
      <c r="F93" s="13" t="s">
        <v>66</v>
      </c>
      <c r="G93" s="13" t="s">
        <v>67</v>
      </c>
      <c r="H93" s="13" t="s">
        <v>68</v>
      </c>
      <c r="I93" s="13" t="s">
        <v>56</v>
      </c>
    </row>
    <row r="94" spans="1:9" ht="12.75">
      <c r="A94" s="13" t="s">
        <v>207</v>
      </c>
      <c r="B94" s="11">
        <f>(100*B90-20*C90)/80</f>
        <v>57.25</v>
      </c>
      <c r="C94" s="11">
        <f>(20*C90-10*D90)/10</f>
        <v>4729</v>
      </c>
      <c r="D94" s="11">
        <f>(10*D90-5*E90)/5</f>
        <v>29842</v>
      </c>
      <c r="E94" s="11">
        <f>(5*E90-F90)/4</f>
        <v>153183.5</v>
      </c>
      <c r="F94" s="11">
        <f>(2*F90-G90)/1</f>
        <v>508374</v>
      </c>
      <c r="G94" s="11">
        <f>(5*G90-H90)/4</f>
        <v>930070.75</v>
      </c>
      <c r="H94" s="11">
        <f>(10*H90-I90)/9</f>
        <v>2016250.2222222222</v>
      </c>
      <c r="I94" s="11">
        <f>I90</f>
        <v>4040818</v>
      </c>
    </row>
    <row r="95" spans="1:9" ht="12.75">
      <c r="A95" s="13" t="s">
        <v>208</v>
      </c>
      <c r="B95" s="11">
        <f>(100*B91-20*C91)/80</f>
        <v>56.75</v>
      </c>
      <c r="C95" s="11">
        <f>(20*C91-10*D91)/10</f>
        <v>4812</v>
      </c>
      <c r="D95" s="11">
        <f>(10*D91-5*E91)/5</f>
        <v>32201</v>
      </c>
      <c r="E95" s="11">
        <f>(5*E91-F91)/4</f>
        <v>165548.25</v>
      </c>
      <c r="F95" s="11">
        <f>(2*F91-G91)/1</f>
        <v>545783</v>
      </c>
      <c r="G95" s="11">
        <f>(5*G91-H91)/4</f>
        <v>991800.75</v>
      </c>
      <c r="H95" s="11">
        <f>(10*H91-I91)/9</f>
        <v>2054689.111111111</v>
      </c>
      <c r="I95" s="11">
        <f>I91</f>
        <v>4040818</v>
      </c>
    </row>
    <row r="96" spans="1:9" ht="12.75">
      <c r="A96" s="13" t="s">
        <v>130</v>
      </c>
      <c r="B96" s="46">
        <f aca="true" t="shared" si="22" ref="B96:I96">B95/B94</f>
        <v>0.9912663755458515</v>
      </c>
      <c r="C96" s="46">
        <f t="shared" si="22"/>
        <v>1.017551279340241</v>
      </c>
      <c r="D96" s="46">
        <f t="shared" si="22"/>
        <v>1.0790496615508345</v>
      </c>
      <c r="E96" s="46">
        <f t="shared" si="22"/>
        <v>1.0807185499743772</v>
      </c>
      <c r="F96" s="46">
        <f t="shared" si="22"/>
        <v>1.073585588562751</v>
      </c>
      <c r="G96" s="46">
        <f t="shared" si="22"/>
        <v>1.0663712948719224</v>
      </c>
      <c r="H96" s="46">
        <f t="shared" si="22"/>
        <v>1.0190645429149776</v>
      </c>
      <c r="I96" s="46">
        <f t="shared" si="22"/>
        <v>1</v>
      </c>
    </row>
    <row r="97" spans="1:9" ht="12.75">
      <c r="A97" s="21" t="s">
        <v>220</v>
      </c>
      <c r="B97" s="13" t="s">
        <v>49</v>
      </c>
      <c r="C97" s="13" t="s">
        <v>11</v>
      </c>
      <c r="D97" s="13" t="s">
        <v>12</v>
      </c>
      <c r="E97" s="13" t="s">
        <v>13</v>
      </c>
      <c r="F97" s="13" t="s">
        <v>14</v>
      </c>
      <c r="G97" s="13" t="s">
        <v>15</v>
      </c>
      <c r="H97" s="13" t="s">
        <v>16</v>
      </c>
      <c r="I97" s="13"/>
    </row>
    <row r="98" spans="1:9" ht="12.75">
      <c r="A98" s="13" t="s">
        <v>207</v>
      </c>
      <c r="B98" s="11">
        <f>'Res1807-1913'!B200</f>
        <v>1136</v>
      </c>
      <c r="C98" s="11">
        <f>'Res1807-1913'!C200</f>
        <v>12967</v>
      </c>
      <c r="D98" s="11">
        <f>'Res1807-1913'!D200</f>
        <v>59030</v>
      </c>
      <c r="E98" s="11">
        <f>'Res1807-1913'!E200</f>
        <v>383920</v>
      </c>
      <c r="F98" s="11">
        <f>'Res1807-1913'!F200</f>
        <v>642116</v>
      </c>
      <c r="G98" s="11">
        <f>'Res1807-1913'!G200</f>
        <v>1467529</v>
      </c>
      <c r="H98" s="11">
        <f>'Res1807-1913'!H200</f>
        <v>3518833</v>
      </c>
      <c r="I98" s="11"/>
    </row>
    <row r="99" spans="1:9" ht="12.75">
      <c r="A99" s="13" t="s">
        <v>208</v>
      </c>
      <c r="B99" s="11">
        <v>1139</v>
      </c>
      <c r="C99" s="11">
        <v>13390</v>
      </c>
      <c r="D99" s="11">
        <v>65315</v>
      </c>
      <c r="E99" s="11">
        <v>416358</v>
      </c>
      <c r="F99" s="11">
        <v>736607</v>
      </c>
      <c r="G99" s="11">
        <v>1506059</v>
      </c>
      <c r="H99" s="11">
        <v>3518833</v>
      </c>
      <c r="I99" s="11"/>
    </row>
    <row r="100" spans="1:9" ht="12.75">
      <c r="A100" s="13" t="s">
        <v>130</v>
      </c>
      <c r="B100" s="46">
        <f aca="true" t="shared" si="23" ref="B100:H100">B99/B98</f>
        <v>1.0026408450704225</v>
      </c>
      <c r="C100" s="46">
        <f t="shared" si="23"/>
        <v>1.0326212693761085</v>
      </c>
      <c r="D100" s="46">
        <f t="shared" si="23"/>
        <v>1.106471285786888</v>
      </c>
      <c r="E100" s="46">
        <f t="shared" si="23"/>
        <v>1.0844915607418213</v>
      </c>
      <c r="F100" s="46">
        <f t="shared" si="23"/>
        <v>1.1471556541185706</v>
      </c>
      <c r="G100" s="46">
        <f t="shared" si="23"/>
        <v>1.0262550177884049</v>
      </c>
      <c r="H100" s="46">
        <f t="shared" si="23"/>
        <v>1</v>
      </c>
      <c r="I100" s="46"/>
    </row>
    <row r="101" spans="1:9" ht="12.75">
      <c r="A101" s="21" t="s">
        <v>221</v>
      </c>
      <c r="B101" s="13" t="s">
        <v>61</v>
      </c>
      <c r="C101" s="13" t="s">
        <v>50</v>
      </c>
      <c r="D101" s="13" t="s">
        <v>51</v>
      </c>
      <c r="E101" s="13" t="s">
        <v>52</v>
      </c>
      <c r="F101" s="13" t="s">
        <v>53</v>
      </c>
      <c r="G101" s="13" t="s">
        <v>54</v>
      </c>
      <c r="H101" s="13" t="s">
        <v>55</v>
      </c>
      <c r="I101" s="13" t="s">
        <v>56</v>
      </c>
    </row>
    <row r="102" spans="1:9" ht="12.75">
      <c r="A102" s="13" t="s">
        <v>207</v>
      </c>
      <c r="B102" s="12">
        <f>100*B90/$B90</f>
        <v>100</v>
      </c>
      <c r="C102" s="12">
        <f>20*C90/$B90</f>
        <v>99.72441181779891</v>
      </c>
      <c r="D102" s="12">
        <f>10*D90/$B90</f>
        <v>96.87887357843432</v>
      </c>
      <c r="E102" s="12">
        <f>5*E90/$B90</f>
        <v>87.90059570371263</v>
      </c>
      <c r="F102" s="12">
        <f>1*F90/$B90</f>
        <v>51.031108971658945</v>
      </c>
      <c r="G102" s="12">
        <f>0.5*G90/$B90</f>
        <v>35.73614537577472</v>
      </c>
      <c r="H102" s="12">
        <f>0.1*H90/$B90</f>
        <v>13.350424213249896</v>
      </c>
      <c r="I102" s="12">
        <f>0.01*I90/$B90</f>
        <v>2.4314447319333294</v>
      </c>
    </row>
    <row r="103" spans="1:9" ht="12.75">
      <c r="A103" s="13" t="s">
        <v>208</v>
      </c>
      <c r="B103" s="12">
        <f>100*B91/$B91</f>
        <v>100</v>
      </c>
      <c r="C103" s="12">
        <f>20*C91/$B91</f>
        <v>99.74361870341089</v>
      </c>
      <c r="D103" s="12">
        <f>10*D91/$B91</f>
        <v>97.02620284617122</v>
      </c>
      <c r="E103" s="12">
        <f>5*E91/$B91</f>
        <v>87.93398463971087</v>
      </c>
      <c r="F103" s="12">
        <f>1*F91/$B91</f>
        <v>50.538852496046985</v>
      </c>
      <c r="G103" s="12">
        <f>0.5*G91/$B91</f>
        <v>35.12821888412017</v>
      </c>
      <c r="H103" s="12">
        <f>0.1*H91/$B91</f>
        <v>12.724768466229953</v>
      </c>
      <c r="I103" s="12">
        <f>0.01*I91/$B91</f>
        <v>2.281916647842783</v>
      </c>
    </row>
    <row r="104" spans="1:9" ht="12.75">
      <c r="A104" s="13" t="s">
        <v>130</v>
      </c>
      <c r="B104" s="46">
        <f aca="true" t="shared" si="24" ref="B104:I104">B103/B102</f>
        <v>1</v>
      </c>
      <c r="C104" s="46">
        <f t="shared" si="24"/>
        <v>1.000192599637961</v>
      </c>
      <c r="D104" s="46">
        <f t="shared" si="24"/>
        <v>1.001520757439625</v>
      </c>
      <c r="E104" s="46">
        <f t="shared" si="24"/>
        <v>1.0003798488022857</v>
      </c>
      <c r="F104" s="46">
        <f t="shared" si="24"/>
        <v>0.990353796232699</v>
      </c>
      <c r="G104" s="46">
        <f t="shared" si="24"/>
        <v>0.9829884704894151</v>
      </c>
      <c r="H104" s="46">
        <f t="shared" si="24"/>
        <v>0.9531358901390565</v>
      </c>
      <c r="I104" s="46">
        <f t="shared" si="24"/>
        <v>0.9385023718093516</v>
      </c>
    </row>
    <row r="105" spans="1:9" ht="12.75">
      <c r="A105" s="21" t="s">
        <v>221</v>
      </c>
      <c r="B105" s="13" t="s">
        <v>62</v>
      </c>
      <c r="C105" s="13" t="s">
        <v>63</v>
      </c>
      <c r="D105" s="13" t="s">
        <v>64</v>
      </c>
      <c r="E105" s="13" t="s">
        <v>65</v>
      </c>
      <c r="F105" s="13" t="s">
        <v>66</v>
      </c>
      <c r="G105" s="13" t="s">
        <v>67</v>
      </c>
      <c r="H105" s="13" t="s">
        <v>68</v>
      </c>
      <c r="I105" s="13" t="s">
        <v>56</v>
      </c>
    </row>
    <row r="106" spans="1:9" ht="12.75">
      <c r="A106" s="13" t="s">
        <v>207</v>
      </c>
      <c r="B106" s="12">
        <f>B102-C102</f>
        <v>0.2755881822010906</v>
      </c>
      <c r="C106" s="12">
        <f aca="true" t="shared" si="25" ref="C106:I106">C102-D102</f>
        <v>2.8455382393645863</v>
      </c>
      <c r="D106" s="12">
        <f t="shared" si="25"/>
        <v>8.978277874721698</v>
      </c>
      <c r="E106" s="12">
        <f t="shared" si="25"/>
        <v>36.86948673205368</v>
      </c>
      <c r="F106" s="12">
        <f t="shared" si="25"/>
        <v>15.294963595884226</v>
      </c>
      <c r="G106" s="12">
        <f t="shared" si="25"/>
        <v>22.385721162524824</v>
      </c>
      <c r="H106" s="12">
        <f t="shared" si="25"/>
        <v>10.918979481316567</v>
      </c>
      <c r="I106" s="12">
        <f t="shared" si="25"/>
        <v>2.4314447319333294</v>
      </c>
    </row>
    <row r="107" spans="1:9" ht="12.75">
      <c r="A107" s="13" t="s">
        <v>208</v>
      </c>
      <c r="B107" s="12">
        <f aca="true" t="shared" si="26" ref="B107:I107">B103-C103</f>
        <v>0.2563812965891117</v>
      </c>
      <c r="C107" s="12">
        <f t="shared" si="26"/>
        <v>2.717415857239672</v>
      </c>
      <c r="D107" s="12">
        <f t="shared" si="26"/>
        <v>9.092218206460345</v>
      </c>
      <c r="E107" s="12">
        <f t="shared" si="26"/>
        <v>37.395132143663886</v>
      </c>
      <c r="F107" s="12">
        <f t="shared" si="26"/>
        <v>15.410633611926812</v>
      </c>
      <c r="G107" s="12">
        <f t="shared" si="26"/>
        <v>22.40345041789022</v>
      </c>
      <c r="H107" s="12">
        <f t="shared" si="26"/>
        <v>10.44285181838717</v>
      </c>
      <c r="I107" s="12">
        <f t="shared" si="26"/>
        <v>2.281916647842783</v>
      </c>
    </row>
    <row r="108" spans="1:9" ht="12.75">
      <c r="A108" s="13" t="s">
        <v>130</v>
      </c>
      <c r="B108" s="46">
        <f aca="true" t="shared" si="27" ref="B108:I108">B107/B106</f>
        <v>0.9303058445446544</v>
      </c>
      <c r="C108" s="46">
        <f t="shared" si="27"/>
        <v>0.9549742890984575</v>
      </c>
      <c r="D108" s="46">
        <f t="shared" si="27"/>
        <v>1.0126906666655355</v>
      </c>
      <c r="E108" s="46">
        <f t="shared" si="27"/>
        <v>1.0142569224093163</v>
      </c>
      <c r="F108" s="46">
        <f t="shared" si="27"/>
        <v>1.0075626212064808</v>
      </c>
      <c r="G108" s="46">
        <f t="shared" si="27"/>
        <v>1.0007919894667086</v>
      </c>
      <c r="H108" s="46">
        <f t="shared" si="27"/>
        <v>0.9563944905525193</v>
      </c>
      <c r="I108" s="46">
        <f t="shared" si="27"/>
        <v>0.9385023718093516</v>
      </c>
    </row>
    <row r="110" spans="1:9" ht="12.75">
      <c r="A110" s="21" t="s">
        <v>224</v>
      </c>
      <c r="B110" s="13" t="s">
        <v>61</v>
      </c>
      <c r="C110" s="13" t="s">
        <v>50</v>
      </c>
      <c r="D110" s="13" t="s">
        <v>51</v>
      </c>
      <c r="E110" s="13" t="s">
        <v>52</v>
      </c>
      <c r="F110" s="13" t="s">
        <v>53</v>
      </c>
      <c r="G110" s="13" t="s">
        <v>54</v>
      </c>
      <c r="H110" s="13" t="s">
        <v>55</v>
      </c>
      <c r="I110" s="13" t="s">
        <v>56</v>
      </c>
    </row>
    <row r="111" spans="1:9" ht="12.75">
      <c r="A111" s="13" t="s">
        <v>207</v>
      </c>
      <c r="B111" s="11">
        <f>'Res1807-1913'!B159</f>
        <v>20622</v>
      </c>
      <c r="C111" s="11">
        <f>'Res1807-1913'!C159</f>
        <v>102900</v>
      </c>
      <c r="D111" s="11">
        <f>'Res1807-1913'!D159</f>
        <v>199618</v>
      </c>
      <c r="E111" s="11">
        <f>'Res1807-1913'!E159</f>
        <v>363605</v>
      </c>
      <c r="F111" s="11">
        <f>'Res1807-1913'!F159</f>
        <v>1080749</v>
      </c>
      <c r="G111" s="11">
        <f>'Res1807-1913'!G159</f>
        <v>1567401</v>
      </c>
      <c r="H111" s="11">
        <f>'Res1807-1913'!H159</f>
        <v>3293999</v>
      </c>
      <c r="I111" s="11">
        <f>'Res1807-1913'!I159</f>
        <v>8167825</v>
      </c>
    </row>
    <row r="112" spans="1:9" ht="12.75">
      <c r="A112" s="13" t="s">
        <v>208</v>
      </c>
      <c r="B112" s="11">
        <v>22384</v>
      </c>
      <c r="C112" s="11">
        <v>111628</v>
      </c>
      <c r="D112" s="11">
        <v>216019</v>
      </c>
      <c r="E112" s="11">
        <v>391185</v>
      </c>
      <c r="F112" s="11">
        <v>1145993</v>
      </c>
      <c r="G112" s="11">
        <v>1655981</v>
      </c>
      <c r="H112" s="11">
        <v>3486474</v>
      </c>
      <c r="I112" s="11">
        <v>8167825</v>
      </c>
    </row>
    <row r="113" spans="1:9" ht="12.75">
      <c r="A113" s="13" t="s">
        <v>130</v>
      </c>
      <c r="B113" s="46">
        <f aca="true" t="shared" si="28" ref="B113:I113">B112/B111</f>
        <v>1.0854427310639123</v>
      </c>
      <c r="C113" s="46">
        <f t="shared" si="28"/>
        <v>1.0848202137998055</v>
      </c>
      <c r="D113" s="46">
        <f t="shared" si="28"/>
        <v>1.0821619292849343</v>
      </c>
      <c r="E113" s="46">
        <f t="shared" si="28"/>
        <v>1.0758515421955144</v>
      </c>
      <c r="F113" s="46">
        <f t="shared" si="28"/>
        <v>1.0603692439225019</v>
      </c>
      <c r="G113" s="46">
        <f t="shared" si="28"/>
        <v>1.0565139361273854</v>
      </c>
      <c r="H113" s="46">
        <f t="shared" si="28"/>
        <v>1.0584320153102658</v>
      </c>
      <c r="I113" s="46">
        <f t="shared" si="28"/>
        <v>1</v>
      </c>
    </row>
    <row r="114" spans="1:9" ht="12.75">
      <c r="A114" s="21" t="s">
        <v>224</v>
      </c>
      <c r="B114" s="13" t="s">
        <v>62</v>
      </c>
      <c r="C114" s="13" t="s">
        <v>63</v>
      </c>
      <c r="D114" s="13" t="s">
        <v>64</v>
      </c>
      <c r="E114" s="13" t="s">
        <v>65</v>
      </c>
      <c r="F114" s="13" t="s">
        <v>66</v>
      </c>
      <c r="G114" s="13" t="s">
        <v>67</v>
      </c>
      <c r="H114" s="13" t="s">
        <v>68</v>
      </c>
      <c r="I114" s="13" t="s">
        <v>56</v>
      </c>
    </row>
    <row r="115" spans="1:9" ht="12.75">
      <c r="A115" s="13" t="s">
        <v>207</v>
      </c>
      <c r="B115" s="11">
        <f>(100*B111-20*C111)/80</f>
        <v>52.5</v>
      </c>
      <c r="C115" s="11">
        <f>(20*C111-10*D111)/10</f>
        <v>6182</v>
      </c>
      <c r="D115" s="11">
        <f>(10*D111-5*E111)/5</f>
        <v>35631</v>
      </c>
      <c r="E115" s="11">
        <f>(5*E111-F111)/4</f>
        <v>184319</v>
      </c>
      <c r="F115" s="11">
        <f>(2*F111-G111)/1</f>
        <v>594097</v>
      </c>
      <c r="G115" s="11">
        <f>(5*G111-H111)/4</f>
        <v>1135751.5</v>
      </c>
      <c r="H115" s="11">
        <f>(10*H111-I111)/9</f>
        <v>2752462.777777778</v>
      </c>
      <c r="I115" s="11">
        <f>I111</f>
        <v>8167825</v>
      </c>
    </row>
    <row r="116" spans="1:9" ht="12.75">
      <c r="A116" s="13" t="s">
        <v>208</v>
      </c>
      <c r="B116" s="11">
        <f>(100*B112-20*C112)/80</f>
        <v>73</v>
      </c>
      <c r="C116" s="11">
        <f>(20*C112-10*D112)/10</f>
        <v>7237</v>
      </c>
      <c r="D116" s="11">
        <f>(10*D112-5*E112)/5</f>
        <v>40853</v>
      </c>
      <c r="E116" s="11">
        <f>(5*E112-F112)/4</f>
        <v>202483</v>
      </c>
      <c r="F116" s="11">
        <f>(2*F112-G112)/1</f>
        <v>636005</v>
      </c>
      <c r="G116" s="11">
        <f>(5*G112-H112)/4</f>
        <v>1198357.75</v>
      </c>
      <c r="H116" s="11">
        <f>(10*H112-I112)/9</f>
        <v>2966323.888888889</v>
      </c>
      <c r="I116" s="11">
        <f>I112</f>
        <v>8167825</v>
      </c>
    </row>
    <row r="117" spans="1:9" ht="12.75">
      <c r="A117" s="13" t="s">
        <v>130</v>
      </c>
      <c r="B117" s="46">
        <f aca="true" t="shared" si="29" ref="B117:I117">B116/B115</f>
        <v>1.3904761904761904</v>
      </c>
      <c r="C117" s="46">
        <f t="shared" si="29"/>
        <v>1.1706567453898415</v>
      </c>
      <c r="D117" s="46">
        <f t="shared" si="29"/>
        <v>1.146557772725997</v>
      </c>
      <c r="E117" s="46">
        <f t="shared" si="29"/>
        <v>1.0985465415936502</v>
      </c>
      <c r="F117" s="46">
        <f t="shared" si="29"/>
        <v>1.0705406692846455</v>
      </c>
      <c r="G117" s="46">
        <f t="shared" si="29"/>
        <v>1.0551231937620158</v>
      </c>
      <c r="H117" s="46">
        <f t="shared" si="29"/>
        <v>1.0776980938081109</v>
      </c>
      <c r="I117" s="46">
        <f t="shared" si="29"/>
        <v>1</v>
      </c>
    </row>
    <row r="118" spans="1:9" ht="12.75">
      <c r="A118" s="21" t="s">
        <v>225</v>
      </c>
      <c r="B118" s="13" t="s">
        <v>49</v>
      </c>
      <c r="C118" s="13" t="s">
        <v>11</v>
      </c>
      <c r="D118" s="13" t="s">
        <v>12</v>
      </c>
      <c r="E118" s="13" t="s">
        <v>13</v>
      </c>
      <c r="F118" s="13" t="s">
        <v>14</v>
      </c>
      <c r="G118" s="13" t="s">
        <v>15</v>
      </c>
      <c r="H118" s="13" t="s">
        <v>16</v>
      </c>
      <c r="I118" s="13"/>
    </row>
    <row r="119" spans="1:9" ht="12.75">
      <c r="A119" s="13" t="s">
        <v>207</v>
      </c>
      <c r="B119" s="11">
        <f>'Res1807-1913'!B201</f>
        <v>1300</v>
      </c>
      <c r="C119" s="11">
        <f>'Res1807-1913'!C201</f>
        <v>16724</v>
      </c>
      <c r="D119" s="11">
        <f>'Res1807-1913'!D201</f>
        <v>70000</v>
      </c>
      <c r="E119" s="11">
        <f>'Res1807-1913'!E201</f>
        <v>478000</v>
      </c>
      <c r="F119" s="11">
        <f>'Res1807-1913'!F201</f>
        <v>769099</v>
      </c>
      <c r="G119" s="11">
        <f>'Res1807-1913'!G201</f>
        <v>1800000</v>
      </c>
      <c r="H119" s="11">
        <f>'Res1807-1913'!H201</f>
        <v>5921960</v>
      </c>
      <c r="I119" s="11"/>
    </row>
    <row r="120" spans="1:9" ht="12.75">
      <c r="A120" s="13" t="s">
        <v>208</v>
      </c>
      <c r="B120" s="11">
        <v>1689</v>
      </c>
      <c r="C120" s="11">
        <v>19260</v>
      </c>
      <c r="D120" s="11">
        <v>80104</v>
      </c>
      <c r="E120" s="11">
        <v>508978</v>
      </c>
      <c r="F120" s="11">
        <v>802626</v>
      </c>
      <c r="G120" s="11">
        <v>2016541</v>
      </c>
      <c r="H120" s="11">
        <v>5921960</v>
      </c>
      <c r="I120" s="11"/>
    </row>
    <row r="121" spans="1:9" ht="12.75">
      <c r="A121" s="13" t="s">
        <v>130</v>
      </c>
      <c r="B121" s="46">
        <f aca="true" t="shared" si="30" ref="B121:H121">B120/B119</f>
        <v>1.2992307692307692</v>
      </c>
      <c r="C121" s="46">
        <f t="shared" si="30"/>
        <v>1.1516383640277446</v>
      </c>
      <c r="D121" s="46">
        <f t="shared" si="30"/>
        <v>1.144342857142857</v>
      </c>
      <c r="E121" s="46">
        <f t="shared" si="30"/>
        <v>1.0648075313807532</v>
      </c>
      <c r="F121" s="46">
        <f t="shared" si="30"/>
        <v>1.0435925674067967</v>
      </c>
      <c r="G121" s="46">
        <f t="shared" si="30"/>
        <v>1.1203005555555556</v>
      </c>
      <c r="H121" s="46">
        <f t="shared" si="30"/>
        <v>1</v>
      </c>
      <c r="I121" s="46"/>
    </row>
    <row r="122" spans="1:9" ht="12.75">
      <c r="A122" s="21" t="s">
        <v>226</v>
      </c>
      <c r="B122" s="13" t="s">
        <v>61</v>
      </c>
      <c r="C122" s="13" t="s">
        <v>50</v>
      </c>
      <c r="D122" s="13" t="s">
        <v>51</v>
      </c>
      <c r="E122" s="13" t="s">
        <v>52</v>
      </c>
      <c r="F122" s="13" t="s">
        <v>53</v>
      </c>
      <c r="G122" s="13" t="s">
        <v>54</v>
      </c>
      <c r="H122" s="13" t="s">
        <v>55</v>
      </c>
      <c r="I122" s="13" t="s">
        <v>56</v>
      </c>
    </row>
    <row r="123" spans="1:9" ht="12.75">
      <c r="A123" s="13" t="s">
        <v>207</v>
      </c>
      <c r="B123" s="12">
        <f>100*B111/$B111</f>
        <v>100</v>
      </c>
      <c r="C123" s="12">
        <f>20*C111/$B111</f>
        <v>99.79633401221996</v>
      </c>
      <c r="D123" s="12">
        <f>10*D111/$B111</f>
        <v>96.79856463970516</v>
      </c>
      <c r="E123" s="12">
        <f>5*E111/$B111</f>
        <v>88.15948986519251</v>
      </c>
      <c r="F123" s="12">
        <f>1*F111/$B111</f>
        <v>52.40757443506934</v>
      </c>
      <c r="G123" s="12">
        <f>0.5*G111/$B111</f>
        <v>38.00312772766948</v>
      </c>
      <c r="H123" s="12">
        <f>0.1*H111/$B111</f>
        <v>15.973227620987297</v>
      </c>
      <c r="I123" s="12">
        <f>0.01*I111/$B111</f>
        <v>3.9607336824750266</v>
      </c>
    </row>
    <row r="124" spans="1:9" ht="12.75">
      <c r="A124" s="13" t="s">
        <v>208</v>
      </c>
      <c r="B124" s="12">
        <f>100*B112/$B112</f>
        <v>100</v>
      </c>
      <c r="C124" s="12">
        <f>20*C112/$B112</f>
        <v>99.73909935668334</v>
      </c>
      <c r="D124" s="12">
        <f>10*D112/$B112</f>
        <v>96.50598641887062</v>
      </c>
      <c r="E124" s="12">
        <f>5*E112/$B112</f>
        <v>87.38049499642602</v>
      </c>
      <c r="F124" s="12">
        <f>1*F112/$B112</f>
        <v>51.196971050750534</v>
      </c>
      <c r="G124" s="12">
        <f>0.5*G112/$B112</f>
        <v>36.99028323802716</v>
      </c>
      <c r="H124" s="12">
        <f>0.1*H112/$B112</f>
        <v>15.575741601143674</v>
      </c>
      <c r="I124" s="12">
        <f>0.01*I112/$B112</f>
        <v>3.6489568441744105</v>
      </c>
    </row>
    <row r="125" spans="1:9" ht="12.75">
      <c r="A125" s="13" t="s">
        <v>130</v>
      </c>
      <c r="B125" s="46">
        <f aca="true" t="shared" si="31" ref="B125:I125">B124/B123</f>
        <v>1</v>
      </c>
      <c r="C125" s="46">
        <f t="shared" si="31"/>
        <v>0.9994264853904392</v>
      </c>
      <c r="D125" s="46">
        <f t="shared" si="31"/>
        <v>0.996977452900014</v>
      </c>
      <c r="E125" s="46">
        <f t="shared" si="31"/>
        <v>0.9911638001767289</v>
      </c>
      <c r="F125" s="46">
        <f t="shared" si="31"/>
        <v>0.9769002210583378</v>
      </c>
      <c r="G125" s="46">
        <f t="shared" si="31"/>
        <v>0.9733483912982014</v>
      </c>
      <c r="H125" s="46">
        <f t="shared" si="31"/>
        <v>0.9751154851558389</v>
      </c>
      <c r="I125" s="46">
        <f t="shared" si="31"/>
        <v>0.9212830593280915</v>
      </c>
    </row>
    <row r="126" spans="1:9" ht="12.75">
      <c r="A126" s="21" t="s">
        <v>226</v>
      </c>
      <c r="B126" s="13" t="s">
        <v>62</v>
      </c>
      <c r="C126" s="13" t="s">
        <v>63</v>
      </c>
      <c r="D126" s="13" t="s">
        <v>64</v>
      </c>
      <c r="E126" s="13" t="s">
        <v>65</v>
      </c>
      <c r="F126" s="13" t="s">
        <v>66</v>
      </c>
      <c r="G126" s="13" t="s">
        <v>67</v>
      </c>
      <c r="H126" s="13" t="s">
        <v>68</v>
      </c>
      <c r="I126" s="13" t="s">
        <v>56</v>
      </c>
    </row>
    <row r="127" spans="1:9" ht="12.75">
      <c r="A127" s="13" t="s">
        <v>207</v>
      </c>
      <c r="B127" s="12">
        <f>B123-C123</f>
        <v>0.20366598778004175</v>
      </c>
      <c r="C127" s="12">
        <f aca="true" t="shared" si="32" ref="C127:I127">C123-D123</f>
        <v>2.997769372514796</v>
      </c>
      <c r="D127" s="12">
        <f t="shared" si="32"/>
        <v>8.63907477451265</v>
      </c>
      <c r="E127" s="12">
        <f t="shared" si="32"/>
        <v>35.75191543012317</v>
      </c>
      <c r="F127" s="12">
        <f t="shared" si="32"/>
        <v>14.404446707399863</v>
      </c>
      <c r="G127" s="12">
        <f t="shared" si="32"/>
        <v>22.029900106682184</v>
      </c>
      <c r="H127" s="12">
        <f t="shared" si="32"/>
        <v>12.01249393851227</v>
      </c>
      <c r="I127" s="12">
        <f t="shared" si="32"/>
        <v>3.9607336824750266</v>
      </c>
    </row>
    <row r="128" spans="1:9" ht="12.75">
      <c r="A128" s="13" t="s">
        <v>208</v>
      </c>
      <c r="B128" s="12">
        <f aca="true" t="shared" si="33" ref="B128:I128">B124-C124</f>
        <v>0.26090064331665985</v>
      </c>
      <c r="C128" s="12">
        <f t="shared" si="33"/>
        <v>3.23311293781272</v>
      </c>
      <c r="D128" s="12">
        <f t="shared" si="33"/>
        <v>9.125491422444597</v>
      </c>
      <c r="E128" s="12">
        <f t="shared" si="33"/>
        <v>36.18352394567549</v>
      </c>
      <c r="F128" s="12">
        <f t="shared" si="33"/>
        <v>14.206687812723374</v>
      </c>
      <c r="G128" s="12">
        <f t="shared" si="33"/>
        <v>21.414541636883484</v>
      </c>
      <c r="H128" s="12">
        <f t="shared" si="33"/>
        <v>11.926784756969264</v>
      </c>
      <c r="I128" s="12">
        <f t="shared" si="33"/>
        <v>3.6489568441744105</v>
      </c>
    </row>
    <row r="129" spans="1:9" ht="12.75">
      <c r="A129" s="13" t="s">
        <v>130</v>
      </c>
      <c r="B129" s="46">
        <f aca="true" t="shared" si="34" ref="B129:I129">B128/B127</f>
        <v>1.2810221586847934</v>
      </c>
      <c r="C129" s="46">
        <f t="shared" si="34"/>
        <v>1.0785062278158166</v>
      </c>
      <c r="D129" s="46">
        <f t="shared" si="34"/>
        <v>1.0563042525534092</v>
      </c>
      <c r="E129" s="46">
        <f t="shared" si="34"/>
        <v>1.0120723186536926</v>
      </c>
      <c r="F129" s="46">
        <f t="shared" si="34"/>
        <v>0.9862709829337009</v>
      </c>
      <c r="G129" s="46">
        <f t="shared" si="34"/>
        <v>0.9720671239170963</v>
      </c>
      <c r="H129" s="46">
        <f t="shared" si="34"/>
        <v>0.9928649968955888</v>
      </c>
      <c r="I129" s="46">
        <f t="shared" si="34"/>
        <v>0.9212830593280915</v>
      </c>
    </row>
  </sheetData>
  <printOptions/>
  <pageMargins left="0.75" right="0.75" top="1" bottom="1" header="0.4921259845" footer="0.4921259845"/>
  <pageSetup fitToHeight="2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2"/>
  <sheetViews>
    <sheetView workbookViewId="0" topLeftCell="A20">
      <selection activeCell="A36" sqref="A36"/>
    </sheetView>
  </sheetViews>
  <sheetFormatPr defaultColWidth="11.421875" defaultRowHeight="12.75"/>
  <sheetData>
    <row r="1" spans="1:35" ht="12.75">
      <c r="A1" s="35" t="s">
        <v>156</v>
      </c>
      <c r="B1" s="1" t="s">
        <v>168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ht="12.75">
      <c r="A2" s="35"/>
      <c r="B2" s="1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ht="12.75">
      <c r="A3" s="9" t="s">
        <v>167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12.75">
      <c r="A4" s="9" t="s">
        <v>157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35" ht="12.75">
      <c r="A6" s="40" t="s">
        <v>148</v>
      </c>
      <c r="B6" s="68" t="s">
        <v>150</v>
      </c>
      <c r="C6" s="68"/>
      <c r="D6" s="68"/>
      <c r="E6" s="68" t="s">
        <v>151</v>
      </c>
      <c r="F6" s="68"/>
      <c r="G6" s="69"/>
      <c r="H6" s="68" t="s">
        <v>155</v>
      </c>
      <c r="I6" s="68"/>
      <c r="J6" s="69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15.75">
      <c r="A7" s="37" t="s">
        <v>149</v>
      </c>
      <c r="B7" s="37" t="s">
        <v>152</v>
      </c>
      <c r="C7" s="41" t="s">
        <v>154</v>
      </c>
      <c r="D7" s="37" t="s">
        <v>153</v>
      </c>
      <c r="E7" s="37" t="s">
        <v>152</v>
      </c>
      <c r="F7" s="41" t="s">
        <v>154</v>
      </c>
      <c r="G7" s="37" t="s">
        <v>153</v>
      </c>
      <c r="H7" s="37" t="s">
        <v>152</v>
      </c>
      <c r="I7" s="41" t="s">
        <v>154</v>
      </c>
      <c r="J7" s="37" t="s">
        <v>153</v>
      </c>
      <c r="K7" s="43" t="s">
        <v>161</v>
      </c>
      <c r="L7" s="43" t="s">
        <v>162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12.75">
      <c r="A8" s="37">
        <v>1</v>
      </c>
      <c r="B8" s="39">
        <v>5517</v>
      </c>
      <c r="C8" s="39">
        <v>6961</v>
      </c>
      <c r="D8" s="39">
        <f>1000*C8/B8</f>
        <v>1261.73645096973</v>
      </c>
      <c r="E8" s="39">
        <v>3250</v>
      </c>
      <c r="F8" s="39">
        <f>E8*G8/1000</f>
        <v>2424.5</v>
      </c>
      <c r="G8" s="39">
        <v>746</v>
      </c>
      <c r="H8" s="42">
        <f>B8/E8</f>
        <v>1.6975384615384614</v>
      </c>
      <c r="I8" s="42">
        <f aca="true" t="shared" si="0" ref="I8:I17">C8/F8</f>
        <v>2.8711074448339864</v>
      </c>
      <c r="J8" s="42">
        <f aca="true" t="shared" si="1" ref="J8:J17">D8/G8</f>
        <v>1.691335725160496</v>
      </c>
      <c r="K8" s="42">
        <f>1000*SUM(C8:C$16)/($A8*SUM(B8:B$16))</f>
        <v>87510.34804019432</v>
      </c>
      <c r="L8" s="42">
        <f>1000*SUM(F8:F$16)/($A8*SUM(E8:E$16))</f>
        <v>131749.70085560367</v>
      </c>
      <c r="M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ht="12.75">
      <c r="A9" s="37">
        <v>2000</v>
      </c>
      <c r="B9" s="39">
        <v>3271</v>
      </c>
      <c r="C9" s="39">
        <v>26840</v>
      </c>
      <c r="D9" s="39">
        <f aca="true" t="shared" si="2" ref="D9:D17">1000*C9/B9</f>
        <v>8205.44176092938</v>
      </c>
      <c r="E9" s="39">
        <v>2081</v>
      </c>
      <c r="F9" s="39">
        <f aca="true" t="shared" si="3" ref="F9:F16">E9*G9/1000</f>
        <v>10265.573</v>
      </c>
      <c r="G9" s="39">
        <v>4933</v>
      </c>
      <c r="H9" s="42">
        <f aca="true" t="shared" si="4" ref="H9:H17">B9/E9</f>
        <v>1.5718404613166748</v>
      </c>
      <c r="I9" s="42">
        <f t="shared" si="0"/>
        <v>2.6145642332873185</v>
      </c>
      <c r="J9" s="42">
        <f t="shared" si="1"/>
        <v>1.6633776121892114</v>
      </c>
      <c r="K9" s="42">
        <f>1000*SUM(C9:C$16)/($A9*SUM(B9:B$16))</f>
        <v>68.77271293375394</v>
      </c>
      <c r="L9" s="42">
        <f>1000*SUM(F9:F$16)/($A9*SUM(E9:E$16))</f>
        <v>100.11660913623935</v>
      </c>
      <c r="M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ht="12.75">
      <c r="A10" s="38">
        <v>10000</v>
      </c>
      <c r="B10" s="39">
        <v>3101</v>
      </c>
      <c r="C10" s="39">
        <v>98817</v>
      </c>
      <c r="D10" s="39">
        <f t="shared" si="2"/>
        <v>31866.172202515318</v>
      </c>
      <c r="E10" s="39">
        <v>1886</v>
      </c>
      <c r="F10" s="39">
        <f t="shared" si="3"/>
        <v>45354.528</v>
      </c>
      <c r="G10" s="39">
        <v>24048</v>
      </c>
      <c r="H10" s="42">
        <f t="shared" si="4"/>
        <v>1.644220572640509</v>
      </c>
      <c r="I10" s="42">
        <f t="shared" si="0"/>
        <v>2.1787681265253163</v>
      </c>
      <c r="J10" s="42">
        <f t="shared" si="1"/>
        <v>1.32510696118244</v>
      </c>
      <c r="K10" s="42">
        <f>1000*SUM(C10:C$16)/($A10*SUM(B10:B$16))</f>
        <v>20.535614681840038</v>
      </c>
      <c r="L10" s="42">
        <f>1000*SUM(F10:F$16)/($A10*SUM(E10:E$16))</f>
        <v>29.849718205996133</v>
      </c>
      <c r="M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ht="12.75">
      <c r="A11" s="37">
        <v>50000</v>
      </c>
      <c r="B11" s="39">
        <v>1184</v>
      </c>
      <c r="C11" s="39">
        <v>85368</v>
      </c>
      <c r="D11" s="39">
        <f t="shared" si="2"/>
        <v>72101.35135135135</v>
      </c>
      <c r="E11" s="39">
        <v>652</v>
      </c>
      <c r="F11" s="39">
        <f t="shared" si="3"/>
        <v>46992.9</v>
      </c>
      <c r="G11" s="39">
        <v>72075</v>
      </c>
      <c r="H11" s="42">
        <f t="shared" si="4"/>
        <v>1.8159509202453987</v>
      </c>
      <c r="I11" s="42">
        <f t="shared" si="0"/>
        <v>1.8166148503284538</v>
      </c>
      <c r="J11" s="42">
        <f t="shared" si="1"/>
        <v>1.0003656101470877</v>
      </c>
      <c r="K11" s="42">
        <f>1000*SUM(C11:C$16)/($A11*SUM(B11:B$16))</f>
        <v>7.536010197578075</v>
      </c>
      <c r="L11" s="42">
        <f>1000*SUM(F11:F$16)/($A11*SUM(E11:E$16))</f>
        <v>10.570931706666666</v>
      </c>
      <c r="M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ht="12.75">
      <c r="A12" s="37">
        <v>100000</v>
      </c>
      <c r="B12" s="39">
        <v>990</v>
      </c>
      <c r="C12" s="39">
        <v>172903</v>
      </c>
      <c r="D12" s="39">
        <f t="shared" si="2"/>
        <v>174649.49494949495</v>
      </c>
      <c r="E12" s="39">
        <v>699</v>
      </c>
      <c r="F12" s="39">
        <f t="shared" si="3"/>
        <v>113665.089</v>
      </c>
      <c r="G12" s="39">
        <v>162611</v>
      </c>
      <c r="H12" s="42">
        <f t="shared" si="4"/>
        <v>1.4163090128755365</v>
      </c>
      <c r="I12" s="42">
        <f t="shared" si="0"/>
        <v>1.5211618758333088</v>
      </c>
      <c r="J12" s="42">
        <f t="shared" si="1"/>
        <v>1.0740324759671545</v>
      </c>
      <c r="K12" s="42">
        <f>1000*SUM(C12:C$16)/($A12*SUM(B12:B$16))</f>
        <v>5.614288638689867</v>
      </c>
      <c r="L12" s="42">
        <f>1000*SUM(F12:F$16)/($A12*SUM(E12:E$16))</f>
        <v>7.147915625782229</v>
      </c>
      <c r="M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ht="12.75">
      <c r="A13" s="37">
        <v>250000</v>
      </c>
      <c r="B13" s="39">
        <v>458</v>
      </c>
      <c r="C13" s="39">
        <v>161511</v>
      </c>
      <c r="D13" s="39">
        <f t="shared" si="2"/>
        <v>352644.1048034934</v>
      </c>
      <c r="E13" s="39">
        <v>384</v>
      </c>
      <c r="F13" s="39">
        <f t="shared" si="3"/>
        <v>135661.056</v>
      </c>
      <c r="G13" s="39">
        <v>353284</v>
      </c>
      <c r="H13" s="42">
        <f t="shared" si="4"/>
        <v>1.1927083333333333</v>
      </c>
      <c r="I13" s="42">
        <f t="shared" si="0"/>
        <v>1.1905480081181146</v>
      </c>
      <c r="J13" s="42">
        <f t="shared" si="1"/>
        <v>0.9981887229636593</v>
      </c>
      <c r="K13" s="42">
        <f>1000*SUM(C13:C$16)/($A13*SUM(B13:B$16))</f>
        <v>3.8345601659751036</v>
      </c>
      <c r="L13" s="42">
        <f>1000*SUM(F13:F$16)/($A13*SUM(E13:E$16))</f>
        <v>4.576515363737486</v>
      </c>
      <c r="M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ht="12.75">
      <c r="A14" s="37">
        <v>500000</v>
      </c>
      <c r="B14" s="39">
        <v>283</v>
      </c>
      <c r="C14" s="39">
        <v>186795</v>
      </c>
      <c r="D14" s="39">
        <f t="shared" si="2"/>
        <v>660053.0035335689</v>
      </c>
      <c r="E14" s="39">
        <v>266</v>
      </c>
      <c r="F14" s="39">
        <f t="shared" si="3"/>
        <v>183990.072</v>
      </c>
      <c r="G14" s="39">
        <v>691692</v>
      </c>
      <c r="H14" s="42">
        <f t="shared" si="4"/>
        <v>1.0639097744360901</v>
      </c>
      <c r="I14" s="42">
        <f t="shared" si="0"/>
        <v>1.0152449964800276</v>
      </c>
      <c r="J14" s="42">
        <f t="shared" si="1"/>
        <v>0.9542585479282237</v>
      </c>
      <c r="K14" s="42">
        <f>1000*SUM(C14:C$16)/($A14*SUM(B14:B$16))</f>
        <v>3.014300395256917</v>
      </c>
      <c r="L14" s="42">
        <f>1000*SUM(F14:F$16)/($A14*SUM(E14:E$16))</f>
        <v>3.4676146485436896</v>
      </c>
      <c r="M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ht="12.75">
      <c r="A15" s="37">
        <v>1000000</v>
      </c>
      <c r="B15" s="39">
        <v>207</v>
      </c>
      <c r="C15" s="39">
        <v>414574</v>
      </c>
      <c r="D15" s="39">
        <f t="shared" si="2"/>
        <v>2002772.9468599034</v>
      </c>
      <c r="E15" s="39">
        <v>228</v>
      </c>
      <c r="F15" s="39">
        <f t="shared" si="3"/>
        <v>448837.38</v>
      </c>
      <c r="G15" s="39">
        <v>1968585</v>
      </c>
      <c r="H15" s="42">
        <f t="shared" si="4"/>
        <v>0.9078947368421053</v>
      </c>
      <c r="I15" s="42">
        <f t="shared" si="0"/>
        <v>0.9236619285140645</v>
      </c>
      <c r="J15" s="42">
        <f t="shared" si="1"/>
        <v>1.0173667618415783</v>
      </c>
      <c r="K15" s="42">
        <f>1000*SUM(C15:C$16)/($A15*SUM(B15:B$16))</f>
        <v>2.5821659192825113</v>
      </c>
      <c r="L15" s="42">
        <f>1000*SUM(F15:F$16)/($A15*SUM(E15:E$16))</f>
        <v>2.8470710843373492</v>
      </c>
      <c r="M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ht="12.75">
      <c r="A16" s="37">
        <v>5000000</v>
      </c>
      <c r="B16" s="39">
        <v>16</v>
      </c>
      <c r="C16" s="39">
        <v>161249</v>
      </c>
      <c r="D16" s="39">
        <f t="shared" si="2"/>
        <v>10078062.5</v>
      </c>
      <c r="E16" s="39">
        <v>21</v>
      </c>
      <c r="F16" s="39">
        <f t="shared" si="3"/>
        <v>260083.32</v>
      </c>
      <c r="G16" s="39">
        <v>12384920</v>
      </c>
      <c r="H16" s="42">
        <f t="shared" si="4"/>
        <v>0.7619047619047619</v>
      </c>
      <c r="I16" s="42">
        <f t="shared" si="0"/>
        <v>0.6199897786601617</v>
      </c>
      <c r="J16" s="42">
        <f t="shared" si="1"/>
        <v>0.8137365844914622</v>
      </c>
      <c r="K16" s="42">
        <f>1000*SUM(C16:C$16)/($A16*SUM(B16:B$16))</f>
        <v>2.0156125</v>
      </c>
      <c r="L16" s="42">
        <f>1000*SUM(F16:F$16)/($A16*SUM(E16:E$16))</f>
        <v>2.476984</v>
      </c>
      <c r="M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12.75">
      <c r="A17" s="37" t="s">
        <v>18</v>
      </c>
      <c r="B17" s="39">
        <v>15027</v>
      </c>
      <c r="C17" s="39">
        <v>1315019</v>
      </c>
      <c r="D17" s="39">
        <f t="shared" si="2"/>
        <v>87510.4145870766</v>
      </c>
      <c r="E17" s="39">
        <v>9468</v>
      </c>
      <c r="F17" s="39">
        <v>1247115</v>
      </c>
      <c r="G17" s="39">
        <f>1000*F17/E17</f>
        <v>131718.94803548796</v>
      </c>
      <c r="H17" s="42">
        <f t="shared" si="4"/>
        <v>1.5871356147021547</v>
      </c>
      <c r="I17" s="42">
        <f t="shared" si="0"/>
        <v>1.0544488679873147</v>
      </c>
      <c r="J17" s="42">
        <f t="shared" si="1"/>
        <v>0.6643722554138481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12.75">
      <c r="A19" s="1" t="s">
        <v>158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ht="12.75">
      <c r="A20" s="1" t="s">
        <v>159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ht="12.75">
      <c r="A21" s="1" t="s">
        <v>160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ht="12.75">
      <c r="A22" s="1" t="s">
        <v>163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ht="12.75">
      <c r="A23" s="1" t="s">
        <v>164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ht="12.75">
      <c r="A24" s="1" t="s">
        <v>165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ht="12.75">
      <c r="A26" s="9" t="s">
        <v>177</v>
      </c>
      <c r="B26" s="35"/>
      <c r="C26" s="35"/>
      <c r="D26" s="35"/>
      <c r="E26" s="35"/>
      <c r="F26" s="35"/>
      <c r="G26" s="35"/>
      <c r="H26" s="35"/>
      <c r="I26" s="35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ht="12.75">
      <c r="A27" s="9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ht="12.75">
      <c r="A28" s="25" t="s">
        <v>178</v>
      </c>
      <c r="B28" s="35"/>
      <c r="C28" s="35"/>
      <c r="D28" s="35"/>
      <c r="E28" s="35"/>
      <c r="F28" s="35"/>
      <c r="G28" s="35"/>
      <c r="H28" s="35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ht="12.75">
      <c r="A29" s="25" t="s">
        <v>169</v>
      </c>
      <c r="B29" s="35"/>
      <c r="C29" s="35"/>
      <c r="D29" s="35"/>
      <c r="E29" s="35"/>
      <c r="F29" s="35"/>
      <c r="G29" s="35"/>
      <c r="H29" s="35"/>
      <c r="I29" s="35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ht="12.75">
      <c r="A30" s="25" t="s">
        <v>179</v>
      </c>
      <c r="B30" s="35"/>
      <c r="C30" s="35"/>
      <c r="D30" s="35"/>
      <c r="E30" s="35"/>
      <c r="F30" s="35"/>
      <c r="G30" s="35"/>
      <c r="H30" s="35"/>
      <c r="I30" s="35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ht="12.75">
      <c r="A32" s="36"/>
      <c r="B32" s="37" t="s">
        <v>173</v>
      </c>
      <c r="C32" s="37" t="s">
        <v>174</v>
      </c>
      <c r="D32" s="37" t="s">
        <v>170</v>
      </c>
      <c r="E32" s="37" t="s">
        <v>175</v>
      </c>
      <c r="F32" s="37" t="s">
        <v>170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ht="12.75">
      <c r="A33" s="36" t="s">
        <v>61</v>
      </c>
      <c r="B33" s="39">
        <v>34293</v>
      </c>
      <c r="C33" s="11">
        <v>37665</v>
      </c>
      <c r="D33" s="44">
        <f>B33/C33</f>
        <v>0.9104739147749901</v>
      </c>
      <c r="E33" s="39">
        <f>B33</f>
        <v>34293</v>
      </c>
      <c r="F33" s="44">
        <f>E33/C33</f>
        <v>0.9104739147749901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ht="12.75">
      <c r="A34" s="36" t="s">
        <v>50</v>
      </c>
      <c r="B34" s="39">
        <v>171321</v>
      </c>
      <c r="C34" s="11">
        <v>188125</v>
      </c>
      <c r="D34" s="44">
        <f aca="true" t="shared" si="5" ref="D34:D40">B34/C34</f>
        <v>0.9106764119601329</v>
      </c>
      <c r="E34" s="39">
        <v>171276</v>
      </c>
      <c r="F34" s="44">
        <f aca="true" t="shared" si="6" ref="F34:F40">E34/C34</f>
        <v>0.9104372093023256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ht="12.75">
      <c r="A35" s="36" t="s">
        <v>51</v>
      </c>
      <c r="B35" s="39">
        <v>337752</v>
      </c>
      <c r="C35" s="11">
        <v>370386</v>
      </c>
      <c r="D35" s="44">
        <f t="shared" si="5"/>
        <v>0.9118919181610536</v>
      </c>
      <c r="E35" s="39">
        <v>337235</v>
      </c>
      <c r="F35" s="44">
        <f t="shared" si="6"/>
        <v>0.9104960770655478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ht="12.75">
      <c r="A36" s="36" t="s">
        <v>52</v>
      </c>
      <c r="B36" s="39">
        <v>638662</v>
      </c>
      <c r="C36" s="11">
        <v>698943</v>
      </c>
      <c r="D36" s="44">
        <f t="shared" si="5"/>
        <v>0.9137540543363336</v>
      </c>
      <c r="E36" s="39">
        <v>636860</v>
      </c>
      <c r="F36" s="44">
        <f t="shared" si="6"/>
        <v>0.9111758755721139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1:35" ht="12.75">
      <c r="A37" s="36" t="s">
        <v>53</v>
      </c>
      <c r="B37" s="39">
        <v>2206730</v>
      </c>
      <c r="C37" s="11">
        <v>2398835</v>
      </c>
      <c r="D37" s="44">
        <f t="shared" si="5"/>
        <v>0.9199173765598718</v>
      </c>
      <c r="E37" s="39">
        <v>2189577</v>
      </c>
      <c r="F37" s="44">
        <f t="shared" si="6"/>
        <v>0.91276682222829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ht="12.75">
      <c r="A38" s="36" t="s">
        <v>54</v>
      </c>
      <c r="B38" s="39">
        <v>3475089</v>
      </c>
      <c r="C38" s="11">
        <v>3756761</v>
      </c>
      <c r="D38" s="44">
        <f t="shared" si="5"/>
        <v>0.925022645837731</v>
      </c>
      <c r="E38" s="39">
        <v>3418735</v>
      </c>
      <c r="F38" s="44">
        <f t="shared" si="6"/>
        <v>0.910021957744983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ht="12.75">
      <c r="A39" s="36" t="s">
        <v>55</v>
      </c>
      <c r="B39" s="39">
        <v>8886958</v>
      </c>
      <c r="C39" s="11">
        <v>9653260</v>
      </c>
      <c r="D39" s="44">
        <f t="shared" si="5"/>
        <v>0.9206172836948348</v>
      </c>
      <c r="E39" s="39">
        <v>8776562</v>
      </c>
      <c r="F39" s="44">
        <f t="shared" si="6"/>
        <v>0.9091811470943495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ht="12.75">
      <c r="A40" s="36" t="s">
        <v>56</v>
      </c>
      <c r="B40" s="39">
        <v>28968130</v>
      </c>
      <c r="C40" s="11">
        <v>30671660</v>
      </c>
      <c r="D40" s="44">
        <f t="shared" si="5"/>
        <v>0.9444591521945666</v>
      </c>
      <c r="E40" s="39">
        <v>28754920</v>
      </c>
      <c r="F40" s="44">
        <f t="shared" si="6"/>
        <v>0.9375077840586391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ht="12.75">
      <c r="A41" s="36"/>
      <c r="B41" s="37" t="s">
        <v>173</v>
      </c>
      <c r="C41" s="37" t="s">
        <v>174</v>
      </c>
      <c r="D41" s="37" t="s">
        <v>170</v>
      </c>
      <c r="E41" s="37" t="s">
        <v>175</v>
      </c>
      <c r="F41" s="37" t="s">
        <v>170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ht="12.75">
      <c r="A42" s="36" t="s">
        <v>62</v>
      </c>
      <c r="B42" s="39">
        <f>(100*B33-20*B34)/80</f>
        <v>36</v>
      </c>
      <c r="C42" s="39">
        <f>(100*C33-20*C34)/80</f>
        <v>50</v>
      </c>
      <c r="D42" s="44">
        <f>B42/C42</f>
        <v>0.72</v>
      </c>
      <c r="E42" s="39">
        <f>(100*E33-20*E34)/80</f>
        <v>47.25</v>
      </c>
      <c r="F42" s="44">
        <f>E42/C42</f>
        <v>0.945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ht="12.75">
      <c r="A43" s="36" t="s">
        <v>63</v>
      </c>
      <c r="B43" s="39">
        <f>(20*B34-10*B35)/10</f>
        <v>4890</v>
      </c>
      <c r="C43" s="39">
        <f>(20*C34-10*C35)/10</f>
        <v>5864</v>
      </c>
      <c r="D43" s="44">
        <f aca="true" t="shared" si="7" ref="D43:D49">B43/C43</f>
        <v>0.8339017735334243</v>
      </c>
      <c r="E43" s="39">
        <f>(20*E34-10*E35)/10</f>
        <v>5317</v>
      </c>
      <c r="F43" s="44">
        <f aca="true" t="shared" si="8" ref="F43:F49">E43/C43</f>
        <v>0.906718963165075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ht="12.75">
      <c r="A44" s="36" t="s">
        <v>64</v>
      </c>
      <c r="B44" s="39">
        <f>(10*B35-5*B36)/5</f>
        <v>36842</v>
      </c>
      <c r="C44" s="39">
        <f>(10*C35-5*C36)/5</f>
        <v>41829</v>
      </c>
      <c r="D44" s="44">
        <f t="shared" si="7"/>
        <v>0.8807764947763513</v>
      </c>
      <c r="E44" s="39">
        <f>(10*E35-5*E36)/5</f>
        <v>37610</v>
      </c>
      <c r="F44" s="44">
        <f t="shared" si="8"/>
        <v>0.899136962394511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12.75">
      <c r="A45" s="36" t="s">
        <v>65</v>
      </c>
      <c r="B45" s="39">
        <f>(5*B36-B37)/4</f>
        <v>246645</v>
      </c>
      <c r="C45" s="39">
        <f>(5*C36-C37)/4</f>
        <v>273970</v>
      </c>
      <c r="D45" s="44">
        <f t="shared" si="7"/>
        <v>0.9002628024966237</v>
      </c>
      <c r="E45" s="39">
        <f>(5*E36-E37)/4</f>
        <v>248680.75</v>
      </c>
      <c r="F45" s="44">
        <f t="shared" si="8"/>
        <v>0.9076933605869256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ht="12.75">
      <c r="A46" s="36" t="s">
        <v>66</v>
      </c>
      <c r="B46" s="39">
        <f>(1*B37-0.5*B38)/0.5</f>
        <v>938371</v>
      </c>
      <c r="C46" s="39">
        <f>(1*C37-0.5*C38)/0.5</f>
        <v>1040909</v>
      </c>
      <c r="D46" s="44">
        <f t="shared" si="7"/>
        <v>0.9014918691259274</v>
      </c>
      <c r="E46" s="39">
        <f>(1*E37-0.5*E38)/0.5</f>
        <v>960419</v>
      </c>
      <c r="F46" s="44">
        <f t="shared" si="8"/>
        <v>0.9226733556919962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ht="12.75">
      <c r="A47" s="36" t="s">
        <v>67</v>
      </c>
      <c r="B47" s="39">
        <f>(0.5*B38-0.1*B39)/0.4</f>
        <v>2122121.7499999995</v>
      </c>
      <c r="C47" s="39">
        <f>(0.5*C38-0.1*C39)/0.4</f>
        <v>2282636.25</v>
      </c>
      <c r="D47" s="44">
        <f t="shared" si="7"/>
        <v>0.9296802107650746</v>
      </c>
      <c r="E47" s="39">
        <f>(0.5*E38-0.1*E39)/0.4</f>
        <v>2079278.2499999998</v>
      </c>
      <c r="F47" s="44">
        <f t="shared" si="8"/>
        <v>0.9109109040040873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ht="12.75">
      <c r="A48" s="36" t="s">
        <v>68</v>
      </c>
      <c r="B48" s="39">
        <f>(0.1*B39-0.01*B40)/0.09</f>
        <v>6655716.666666667</v>
      </c>
      <c r="C48" s="39">
        <f>(0.1*C39-0.01*C40)/0.09</f>
        <v>7317882.222222221</v>
      </c>
      <c r="D48" s="44">
        <f t="shared" si="7"/>
        <v>0.9095140458062094</v>
      </c>
      <c r="E48" s="39">
        <f>(0.1*E39-0.01*E40)/0.09</f>
        <v>6556744.444444445</v>
      </c>
      <c r="F48" s="44">
        <f t="shared" si="8"/>
        <v>0.8959893375345085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2.75">
      <c r="A49" s="36" t="s">
        <v>56</v>
      </c>
      <c r="B49" s="39">
        <f>B40</f>
        <v>28968130</v>
      </c>
      <c r="C49" s="39">
        <f>C40</f>
        <v>30671660</v>
      </c>
      <c r="D49" s="44">
        <f t="shared" si="7"/>
        <v>0.9444591521945666</v>
      </c>
      <c r="E49" s="39">
        <f>E40</f>
        <v>28754920</v>
      </c>
      <c r="F49" s="44">
        <f t="shared" si="8"/>
        <v>0.9375077840586391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2.75">
      <c r="A50" s="1" t="s">
        <v>176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2.75">
      <c r="A52" s="9" t="s">
        <v>180</v>
      </c>
      <c r="B52" s="35"/>
      <c r="C52" s="35"/>
      <c r="D52" s="35"/>
      <c r="E52" s="35"/>
      <c r="F52" s="35"/>
      <c r="G52" s="35"/>
      <c r="H52" s="35"/>
      <c r="I52" s="35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ht="12.75">
      <c r="A53" s="9"/>
      <c r="B53" s="35"/>
      <c r="C53" s="35"/>
      <c r="D53" s="35"/>
      <c r="E53" s="35"/>
      <c r="F53" s="35"/>
      <c r="G53" s="35"/>
      <c r="H53" s="35"/>
      <c r="I53" s="35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ht="12.75">
      <c r="A54" s="25" t="s">
        <v>184</v>
      </c>
      <c r="B54" s="35"/>
      <c r="C54" s="35"/>
      <c r="D54" s="35"/>
      <c r="E54" s="35"/>
      <c r="F54" s="35"/>
      <c r="G54" s="35"/>
      <c r="H54" s="35"/>
      <c r="I54" s="35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ht="12.75">
      <c r="A55" s="25" t="s">
        <v>181</v>
      </c>
      <c r="B55" s="35"/>
      <c r="C55" s="35"/>
      <c r="D55" s="35"/>
      <c r="E55" s="35"/>
      <c r="F55" s="35"/>
      <c r="G55" s="35"/>
      <c r="H55" s="35"/>
      <c r="I55" s="3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ht="12.75">
      <c r="A57" s="36"/>
      <c r="B57" s="37" t="s">
        <v>182</v>
      </c>
      <c r="C57" s="37" t="s">
        <v>174</v>
      </c>
      <c r="D57" s="37" t="s">
        <v>171</v>
      </c>
      <c r="E57" s="37" t="s">
        <v>183</v>
      </c>
      <c r="F57" s="37" t="s">
        <v>171</v>
      </c>
      <c r="G57" s="37" t="s">
        <v>187</v>
      </c>
      <c r="H57" s="37" t="s">
        <v>188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ht="12.75">
      <c r="A58" s="36" t="s">
        <v>61</v>
      </c>
      <c r="B58" s="39">
        <v>34769</v>
      </c>
      <c r="C58" s="11">
        <v>37665</v>
      </c>
      <c r="D58" s="44">
        <f>C58/B58</f>
        <v>1.0832925882251432</v>
      </c>
      <c r="E58" s="39">
        <f>B58</f>
        <v>34769</v>
      </c>
      <c r="F58" s="44">
        <f>C58/E58</f>
        <v>1.0832925882251432</v>
      </c>
      <c r="G58" s="45">
        <f>100*B58/B$58</f>
        <v>100</v>
      </c>
      <c r="H58" s="45">
        <f>100*C58/C$58</f>
        <v>100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ht="12.75">
      <c r="A59" s="36" t="s">
        <v>50</v>
      </c>
      <c r="B59" s="39">
        <v>173693</v>
      </c>
      <c r="C59" s="11">
        <v>188125</v>
      </c>
      <c r="D59" s="44">
        <f aca="true" t="shared" si="9" ref="D59:D65">C59/B59</f>
        <v>1.0830891285198598</v>
      </c>
      <c r="E59" s="39">
        <v>173656</v>
      </c>
      <c r="F59" s="44">
        <f aca="true" t="shared" si="10" ref="F59:F65">C59/E59</f>
        <v>1.0833198968074815</v>
      </c>
      <c r="G59" s="45">
        <f>20*B59/B$58</f>
        <v>99.91256579136588</v>
      </c>
      <c r="H59" s="45">
        <f>20*C59/C$58</f>
        <v>99.8938006106465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 ht="12.75">
      <c r="A60" s="36" t="s">
        <v>51</v>
      </c>
      <c r="B60" s="39">
        <v>342506</v>
      </c>
      <c r="C60" s="11">
        <v>370386</v>
      </c>
      <c r="D60" s="44">
        <f t="shared" si="9"/>
        <v>1.0814000338680199</v>
      </c>
      <c r="E60" s="39">
        <v>342018</v>
      </c>
      <c r="F60" s="44">
        <f t="shared" si="10"/>
        <v>1.0829430029998421</v>
      </c>
      <c r="G60" s="45">
        <f>10*B60/B$58</f>
        <v>98.5090166527654</v>
      </c>
      <c r="H60" s="45">
        <f>10*C60/C$58</f>
        <v>98.33691756272401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ht="12.75">
      <c r="A61" s="36" t="s">
        <v>52</v>
      </c>
      <c r="B61" s="39">
        <v>647579</v>
      </c>
      <c r="C61" s="11">
        <v>698943</v>
      </c>
      <c r="D61" s="44">
        <f t="shared" si="9"/>
        <v>1.07931696364459</v>
      </c>
      <c r="E61" s="39">
        <v>646103</v>
      </c>
      <c r="F61" s="44">
        <f t="shared" si="10"/>
        <v>1.0817826259899737</v>
      </c>
      <c r="G61" s="45">
        <f>5*B61/B$58</f>
        <v>93.12591676493427</v>
      </c>
      <c r="H61" s="45">
        <f>5*C61/C$58</f>
        <v>92.78414974113899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 ht="12.75">
      <c r="A62" s="36" t="s">
        <v>53</v>
      </c>
      <c r="B62" s="39">
        <v>2227807</v>
      </c>
      <c r="C62" s="11">
        <v>2398835</v>
      </c>
      <c r="D62" s="44">
        <f t="shared" si="9"/>
        <v>1.0767696663131052</v>
      </c>
      <c r="E62" s="39">
        <v>2217978</v>
      </c>
      <c r="F62" s="44">
        <f t="shared" si="10"/>
        <v>1.0815413858929168</v>
      </c>
      <c r="G62" s="45">
        <f>1*B62/B$58</f>
        <v>64.07452040610889</v>
      </c>
      <c r="H62" s="45">
        <f>1*C62/C$58</f>
        <v>63.68870303995752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ht="12.75">
      <c r="A63" s="36" t="s">
        <v>54</v>
      </c>
      <c r="B63" s="39">
        <v>3512489</v>
      </c>
      <c r="C63" s="11">
        <v>3756761</v>
      </c>
      <c r="D63" s="44">
        <f t="shared" si="9"/>
        <v>1.0695438476818007</v>
      </c>
      <c r="E63" s="39">
        <v>3482357</v>
      </c>
      <c r="F63" s="44">
        <f t="shared" si="10"/>
        <v>1.0787983541032697</v>
      </c>
      <c r="G63" s="45">
        <f>0.5*B63/B$58</f>
        <v>50.51179211366447</v>
      </c>
      <c r="H63" s="45">
        <f>0.5*C63/C$58</f>
        <v>49.87071551838577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ht="12.75">
      <c r="A64" s="36" t="s">
        <v>55</v>
      </c>
      <c r="B64" s="39">
        <v>9176954</v>
      </c>
      <c r="C64" s="11">
        <v>9653260</v>
      </c>
      <c r="D64" s="44">
        <f t="shared" si="9"/>
        <v>1.0519024068334657</v>
      </c>
      <c r="E64" s="39">
        <v>9054439</v>
      </c>
      <c r="F64" s="44">
        <f t="shared" si="10"/>
        <v>1.0661356269560158</v>
      </c>
      <c r="G64" s="45">
        <f>0.1*B64/B$58</f>
        <v>26.394069429664356</v>
      </c>
      <c r="H64" s="45">
        <f>0.1*C64/C$58</f>
        <v>25.629257931766894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1:35" ht="12.75">
      <c r="A65" s="36" t="s">
        <v>56</v>
      </c>
      <c r="B65" s="39">
        <v>29780870</v>
      </c>
      <c r="C65" s="11">
        <v>30671660</v>
      </c>
      <c r="D65" s="44">
        <f t="shared" si="9"/>
        <v>1.029911483445581</v>
      </c>
      <c r="E65" s="39">
        <v>29790870</v>
      </c>
      <c r="F65" s="44">
        <f t="shared" si="10"/>
        <v>1.029565769646875</v>
      </c>
      <c r="G65" s="45">
        <f>0.01*B65/B$58</f>
        <v>8.565351318703444</v>
      </c>
      <c r="H65" s="45">
        <f>0.01*C65/C$58</f>
        <v>8.143278906146291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1:35" ht="12.75">
      <c r="A66" s="36"/>
      <c r="B66" s="37" t="s">
        <v>173</v>
      </c>
      <c r="C66" s="37" t="s">
        <v>174</v>
      </c>
      <c r="D66" s="37" t="s">
        <v>170</v>
      </c>
      <c r="E66" s="37" t="s">
        <v>175</v>
      </c>
      <c r="F66" s="37" t="s">
        <v>170</v>
      </c>
      <c r="G66" s="37" t="s">
        <v>187</v>
      </c>
      <c r="H66" s="37" t="s">
        <v>188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1:35" ht="12.75">
      <c r="A67" s="36" t="s">
        <v>62</v>
      </c>
      <c r="B67" s="39">
        <f>(100*B58-20*B59)/80</f>
        <v>38</v>
      </c>
      <c r="C67" s="39">
        <f>(100*C58-20*C59)/80</f>
        <v>50</v>
      </c>
      <c r="D67" s="44">
        <f>C67/B67</f>
        <v>1.3157894736842106</v>
      </c>
      <c r="E67" s="39">
        <f>(100*E58-20*E59)/80</f>
        <v>47.25</v>
      </c>
      <c r="F67" s="44">
        <f>C67/E67</f>
        <v>1.0582010582010581</v>
      </c>
      <c r="G67" s="45">
        <f aca="true" t="shared" si="11" ref="G67:G73">G58-G59</f>
        <v>0.08743420863412155</v>
      </c>
      <c r="H67" s="45">
        <f aca="true" t="shared" si="12" ref="H67:H73">H58-H59</f>
        <v>0.10619938935350604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1:35" ht="12.75">
      <c r="A68" s="36" t="s">
        <v>63</v>
      </c>
      <c r="B68" s="39">
        <f>(20*B59-10*B60)/10</f>
        <v>4880</v>
      </c>
      <c r="C68" s="39">
        <f>(20*C59-10*C60)/10</f>
        <v>5864</v>
      </c>
      <c r="D68" s="44">
        <f aca="true" t="shared" si="13" ref="D68:D74">C68/B68</f>
        <v>1.201639344262295</v>
      </c>
      <c r="E68" s="39">
        <f>(20*E59-10*E60)/10</f>
        <v>5294</v>
      </c>
      <c r="F68" s="44">
        <f aca="true" t="shared" si="14" ref="F68:F74">C68/E68</f>
        <v>1.1076690593124292</v>
      </c>
      <c r="G68" s="45">
        <f t="shared" si="11"/>
        <v>1.4035491386004821</v>
      </c>
      <c r="H68" s="45">
        <f t="shared" si="12"/>
        <v>1.5568830479224829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1:35" ht="12.75">
      <c r="A69" s="36" t="s">
        <v>64</v>
      </c>
      <c r="B69" s="39">
        <f>(10*B60-5*B61)/5</f>
        <v>37433</v>
      </c>
      <c r="C69" s="39">
        <f>(10*C60-5*C61)/5</f>
        <v>41829</v>
      </c>
      <c r="D69" s="44">
        <f t="shared" si="13"/>
        <v>1.117436486522587</v>
      </c>
      <c r="E69" s="39">
        <f>(10*E60-5*E61)/5</f>
        <v>37933</v>
      </c>
      <c r="F69" s="44">
        <f t="shared" si="14"/>
        <v>1.1027074051617325</v>
      </c>
      <c r="G69" s="45">
        <f t="shared" si="11"/>
        <v>5.383099887831122</v>
      </c>
      <c r="H69" s="45">
        <f t="shared" si="12"/>
        <v>5.552767821585022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1:35" ht="12.75">
      <c r="A70" s="36" t="s">
        <v>65</v>
      </c>
      <c r="B70" s="39">
        <f>(5*B61-B62)/4</f>
        <v>252522</v>
      </c>
      <c r="C70" s="39">
        <f>(5*C61-C62)/4</f>
        <v>273970</v>
      </c>
      <c r="D70" s="44">
        <f t="shared" si="13"/>
        <v>1.0849351739650406</v>
      </c>
      <c r="E70" s="39">
        <f>(5*E61-E62)/4</f>
        <v>253134.25</v>
      </c>
      <c r="F70" s="44">
        <f t="shared" si="14"/>
        <v>1.082311066163508</v>
      </c>
      <c r="G70" s="45">
        <f t="shared" si="11"/>
        <v>29.051396358825386</v>
      </c>
      <c r="H70" s="45">
        <f t="shared" si="12"/>
        <v>29.095446701181473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1:35" ht="12.75">
      <c r="A71" s="36" t="s">
        <v>66</v>
      </c>
      <c r="B71" s="39">
        <f>(1*B62-0.5*B63)/0.5</f>
        <v>943125</v>
      </c>
      <c r="C71" s="39">
        <f>(1*C62-0.5*C63)/0.5</f>
        <v>1040909</v>
      </c>
      <c r="D71" s="44">
        <f t="shared" si="13"/>
        <v>1.10368084824387</v>
      </c>
      <c r="E71" s="39">
        <f>(1*E62-0.5*E63)/0.5</f>
        <v>953599</v>
      </c>
      <c r="F71" s="44">
        <f t="shared" si="14"/>
        <v>1.091558401382552</v>
      </c>
      <c r="G71" s="45">
        <f t="shared" si="11"/>
        <v>13.562728292444419</v>
      </c>
      <c r="H71" s="45">
        <f t="shared" si="12"/>
        <v>13.817987521571744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5" ht="12.75">
      <c r="A72" s="36" t="s">
        <v>67</v>
      </c>
      <c r="B72" s="39">
        <f>(0.5*B63-0.1*B64)/0.4</f>
        <v>2096372.7499999998</v>
      </c>
      <c r="C72" s="39">
        <f>(0.5*C63-0.1*C64)/0.4</f>
        <v>2282636.25</v>
      </c>
      <c r="D72" s="44">
        <f t="shared" si="13"/>
        <v>1.0888503726257652</v>
      </c>
      <c r="E72" s="39">
        <f>(0.5*E63-0.1*E64)/0.4</f>
        <v>2089336.4999999998</v>
      </c>
      <c r="F72" s="44">
        <f t="shared" si="14"/>
        <v>1.0925172895797304</v>
      </c>
      <c r="G72" s="45">
        <f t="shared" si="11"/>
        <v>24.117722684000114</v>
      </c>
      <c r="H72" s="45">
        <f t="shared" si="12"/>
        <v>24.24145758661888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1:35" ht="12.75">
      <c r="A73" s="36" t="s">
        <v>68</v>
      </c>
      <c r="B73" s="39">
        <f>(0.1*B64-0.01*B65)/0.09</f>
        <v>6887630</v>
      </c>
      <c r="C73" s="39">
        <f>(0.1*C64-0.01*C65)/0.09</f>
        <v>7317882.222222221</v>
      </c>
      <c r="D73" s="44">
        <f t="shared" si="13"/>
        <v>1.0624673831524372</v>
      </c>
      <c r="E73" s="39">
        <f>(0.1*E64-0.01*E65)/0.09</f>
        <v>6750391.111111111</v>
      </c>
      <c r="F73" s="44">
        <f t="shared" si="14"/>
        <v>1.084067886107669</v>
      </c>
      <c r="G73" s="45">
        <f t="shared" si="11"/>
        <v>17.828718110960914</v>
      </c>
      <c r="H73" s="45">
        <f t="shared" si="12"/>
        <v>17.4859790256206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1:35" ht="12.75">
      <c r="A74" s="36" t="s">
        <v>56</v>
      </c>
      <c r="B74" s="39">
        <f>B65</f>
        <v>29780870</v>
      </c>
      <c r="C74" s="39">
        <f>C65</f>
        <v>30671660</v>
      </c>
      <c r="D74" s="44">
        <f t="shared" si="13"/>
        <v>1.029911483445581</v>
      </c>
      <c r="E74" s="39">
        <f>E65</f>
        <v>29790870</v>
      </c>
      <c r="F74" s="44">
        <f t="shared" si="14"/>
        <v>1.029565769646875</v>
      </c>
      <c r="G74" s="45">
        <f>G65</f>
        <v>8.565351318703444</v>
      </c>
      <c r="H74" s="45">
        <f>H65</f>
        <v>8.143278906146291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1:35" ht="12.75">
      <c r="A75" s="1" t="s">
        <v>185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1:35" ht="12.75">
      <c r="A76" s="1" t="s">
        <v>186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ht="12.75">
      <c r="A77" s="1" t="s">
        <v>190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1:35" ht="12.75">
      <c r="A78" s="1" t="s">
        <v>189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1:35" ht="12.75">
      <c r="A79" s="1" t="s">
        <v>191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1:35" ht="12.75">
      <c r="A80" s="1" t="s">
        <v>192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5" ht="12.75">
      <c r="A81" s="1" t="s">
        <v>193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:35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:35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:35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:35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5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:35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:35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:35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:35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:35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:35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1:35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1:35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1:35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1:35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1:35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1:35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1:35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1:35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1:35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1:35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1:35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1:35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1:35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1:35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1:35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1:35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1:35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1:35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1:35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</row>
    <row r="114" spans="1:35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</row>
    <row r="115" spans="1:35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</row>
    <row r="116" spans="1:35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</row>
    <row r="117" spans="1:35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</row>
    <row r="118" spans="1:35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</row>
    <row r="119" spans="1:35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</row>
    <row r="120" spans="1:35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</row>
    <row r="121" spans="1:35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</row>
    <row r="122" spans="1:35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</row>
    <row r="123" spans="1:35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</row>
    <row r="124" spans="1:35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</row>
    <row r="125" spans="1:35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</row>
    <row r="126" spans="1:35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</row>
    <row r="127" spans="1:35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</row>
    <row r="128" spans="1:35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</row>
    <row r="129" spans="1:35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</row>
    <row r="130" spans="1:35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</row>
    <row r="131" spans="1:35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</row>
    <row r="132" spans="1:35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</row>
    <row r="133" spans="1:35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</row>
    <row r="134" spans="1:35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</row>
    <row r="135" spans="1:35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</row>
    <row r="136" spans="1:35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</row>
    <row r="137" spans="1:35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</row>
    <row r="138" spans="1:35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</row>
    <row r="139" spans="1:35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</row>
    <row r="140" spans="1:35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</row>
    <row r="141" spans="1:35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</row>
    <row r="142" spans="1:35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</row>
    <row r="143" spans="1:35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</row>
    <row r="144" spans="1:35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</row>
    <row r="145" spans="1:35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</row>
    <row r="146" spans="1:35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</row>
    <row r="147" spans="1:35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</row>
    <row r="148" spans="1:35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1:35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1:35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</row>
    <row r="151" spans="1:35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1:35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1:35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1:35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</row>
    <row r="155" spans="1:35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</row>
    <row r="156" spans="1:35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</row>
    <row r="157" spans="1:35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</row>
    <row r="158" spans="1:35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</row>
    <row r="159" spans="1:35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1:35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1:35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</row>
    <row r="162" spans="1:35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</row>
    <row r="163" spans="1:35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1:35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</row>
    <row r="165" spans="1:35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6" spans="1:35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</row>
    <row r="167" spans="1:35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</row>
    <row r="168" spans="1:35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</row>
    <row r="169" spans="1:35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</row>
    <row r="170" spans="1:35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</row>
    <row r="171" spans="1:35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</row>
    <row r="172" spans="1:35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</row>
    <row r="173" spans="1:35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</row>
    <row r="174" spans="1:35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</row>
    <row r="175" spans="1:35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</row>
    <row r="176" spans="1:35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</row>
    <row r="177" spans="1:35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</row>
    <row r="178" spans="1:35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</row>
    <row r="179" spans="1:35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</row>
    <row r="180" spans="1:35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</row>
    <row r="181" spans="1:35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</row>
    <row r="182" spans="1:35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1:35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1:35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1:35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1:35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1:35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1:35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1:35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</row>
    <row r="190" spans="1:35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</row>
    <row r="191" spans="1:35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1:35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</row>
    <row r="193" spans="1:35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</row>
    <row r="194" spans="1:35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</row>
    <row r="195" spans="1:35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</row>
    <row r="196" spans="1:35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</row>
    <row r="197" spans="1:35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</row>
    <row r="198" spans="1:35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</row>
    <row r="199" spans="1:35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</row>
    <row r="200" spans="1:35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</row>
    <row r="201" spans="1:35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</row>
    <row r="202" spans="1:35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</row>
    <row r="203" spans="1:35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</row>
    <row r="204" spans="1:35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</row>
    <row r="205" spans="1:35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</row>
    <row r="206" spans="1:35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</row>
    <row r="207" spans="1:35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</row>
    <row r="208" spans="1:35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</row>
    <row r="209" spans="1:35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</row>
    <row r="210" spans="1:35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</row>
    <row r="211" spans="1:35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</row>
    <row r="212" spans="1:35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</row>
    <row r="213" spans="1:35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</row>
    <row r="214" spans="1:35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</row>
    <row r="215" spans="1:35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</row>
    <row r="216" spans="1:35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</row>
    <row r="217" spans="1:35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</row>
    <row r="218" spans="1:35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</row>
    <row r="219" spans="1:35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</row>
    <row r="220" spans="1:35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</row>
    <row r="221" spans="1:35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</row>
    <row r="222" spans="1:35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</row>
    <row r="223" spans="1:35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</row>
    <row r="224" spans="1:35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</row>
    <row r="225" spans="1:35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</row>
    <row r="226" spans="1:35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1:35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</row>
    <row r="228" spans="1:35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1:35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</row>
    <row r="230" spans="1:35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</row>
    <row r="231" spans="1:35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</row>
    <row r="232" spans="1:35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</row>
    <row r="233" spans="1:35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</row>
    <row r="234" spans="1:35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</row>
    <row r="235" spans="1:35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</row>
    <row r="236" spans="1:35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</row>
    <row r="237" spans="1:35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</row>
    <row r="238" spans="1:35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</row>
    <row r="239" spans="1:35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</row>
    <row r="240" spans="1:35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</row>
    <row r="241" spans="1:35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</row>
    <row r="242" spans="1:35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</row>
    <row r="243" spans="1:35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</row>
    <row r="244" spans="1:35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</row>
    <row r="245" spans="1:35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</row>
    <row r="246" spans="1:35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</row>
    <row r="247" spans="1:35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</row>
    <row r="248" spans="1:35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</row>
    <row r="249" spans="1:35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</row>
    <row r="250" spans="1:35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</row>
    <row r="251" spans="1:35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</row>
    <row r="252" spans="1:35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</row>
    <row r="253" spans="1:35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</row>
    <row r="254" spans="1:35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</row>
    <row r="255" spans="1:35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</row>
    <row r="256" spans="1:35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</row>
    <row r="257" spans="1:35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</row>
    <row r="258" spans="1:35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</row>
    <row r="259" spans="1:35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</row>
    <row r="260" spans="1:35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</row>
    <row r="261" spans="1:35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</row>
    <row r="262" spans="1:35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</row>
  </sheetData>
  <mergeCells count="3">
    <mergeCell ref="H6:J6"/>
    <mergeCell ref="E6:G6"/>
    <mergeCell ref="B6:D6"/>
  </mergeCells>
  <printOptions/>
  <pageMargins left="0.75" right="0.75" top="1" bottom="1" header="0.4921259845" footer="0.4921259845"/>
  <pageSetup fitToHeight="2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89"/>
  <sheetViews>
    <sheetView workbookViewId="0" topLeftCell="A25">
      <selection activeCell="F44" sqref="F44"/>
    </sheetView>
  </sheetViews>
  <sheetFormatPr defaultColWidth="11.421875" defaultRowHeight="12.75"/>
  <cols>
    <col min="1" max="1" width="12.7109375" style="0" customWidth="1"/>
    <col min="2" max="8" width="11.7109375" style="0" customWidth="1"/>
    <col min="9" max="9" width="10.7109375" style="0" customWidth="1"/>
    <col min="10" max="23" width="8.7109375" style="0" customWidth="1"/>
    <col min="24" max="94" width="9.7109375" style="0" customWidth="1"/>
  </cols>
  <sheetData>
    <row r="1" spans="1:2" ht="12.75">
      <c r="A1" t="s">
        <v>73</v>
      </c>
      <c r="B1" s="1" t="s">
        <v>194</v>
      </c>
    </row>
    <row r="3" spans="1:38" ht="12.75">
      <c r="A3" s="13"/>
      <c r="B3" s="17"/>
      <c r="C3" s="17"/>
      <c r="D3" s="17"/>
      <c r="E3" s="17"/>
      <c r="F3" s="17"/>
      <c r="G3" s="17"/>
      <c r="H3" s="1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9" ht="12.75">
      <c r="A4" s="21" t="s">
        <v>10</v>
      </c>
      <c r="B4" s="13" t="s">
        <v>61</v>
      </c>
      <c r="C4" s="13" t="s">
        <v>50</v>
      </c>
      <c r="D4" s="13" t="s">
        <v>51</v>
      </c>
      <c r="E4" s="13" t="s">
        <v>52</v>
      </c>
      <c r="F4" s="13" t="s">
        <v>53</v>
      </c>
      <c r="G4" s="13" t="s">
        <v>54</v>
      </c>
      <c r="H4" s="13" t="s">
        <v>55</v>
      </c>
      <c r="I4" s="13" t="s">
        <v>56</v>
      </c>
    </row>
    <row r="5" spans="1:9" ht="12.75">
      <c r="A5" s="13">
        <v>1902</v>
      </c>
      <c r="B5" s="11">
        <v>25056.094354362365</v>
      </c>
      <c r="C5" s="11">
        <v>124796.19733542741</v>
      </c>
      <c r="D5" s="11">
        <v>242073.448974322</v>
      </c>
      <c r="E5" s="11">
        <v>440017.5602486225</v>
      </c>
      <c r="F5" s="11">
        <v>1470796.827106625</v>
      </c>
      <c r="G5" s="11">
        <v>2337083.289785788</v>
      </c>
      <c r="H5" s="11">
        <v>6265458.166028909</v>
      </c>
      <c r="I5" s="11">
        <v>17672686.96855103</v>
      </c>
    </row>
    <row r="6" spans="1:9" ht="12.75">
      <c r="A6" s="13">
        <v>1903</v>
      </c>
      <c r="B6" s="11">
        <v>27430.08980003491</v>
      </c>
      <c r="C6" s="11">
        <v>136781.39658437402</v>
      </c>
      <c r="D6" s="11">
        <v>267125.1531865316</v>
      </c>
      <c r="E6" s="11">
        <v>496530.2759827747</v>
      </c>
      <c r="F6" s="11">
        <v>1719259.452306016</v>
      </c>
      <c r="G6" s="11">
        <v>2686400.5168404104</v>
      </c>
      <c r="H6" s="11">
        <v>7126265.147007277</v>
      </c>
      <c r="I6" s="11">
        <v>23151438.41859856</v>
      </c>
    </row>
    <row r="7" spans="1:9" ht="12.75">
      <c r="A7" s="13">
        <v>1904</v>
      </c>
      <c r="B7" s="11">
        <v>33324.19014285442</v>
      </c>
      <c r="C7" s="11">
        <v>166301.98661845995</v>
      </c>
      <c r="D7" s="11">
        <v>326906.77878676535</v>
      </c>
      <c r="E7" s="11">
        <v>618715.7081973053</v>
      </c>
      <c r="F7" s="11">
        <v>2306875.925424458</v>
      </c>
      <c r="G7" s="11">
        <v>3876618.444965321</v>
      </c>
      <c r="H7" s="11">
        <v>12148340.904556016</v>
      </c>
      <c r="I7" s="11">
        <v>60568305.9236137</v>
      </c>
    </row>
    <row r="8" spans="1:9" ht="12.75">
      <c r="A8" s="13">
        <v>1905</v>
      </c>
      <c r="B8" s="11">
        <v>36793.019990392786</v>
      </c>
      <c r="C8" s="11">
        <v>183603.4013907301</v>
      </c>
      <c r="D8" s="11">
        <v>360955.6385943598</v>
      </c>
      <c r="E8" s="11">
        <v>687593.0372807707</v>
      </c>
      <c r="F8" s="11">
        <v>2638120.061171921</v>
      </c>
      <c r="G8" s="11">
        <v>4499704.1241287505</v>
      </c>
      <c r="H8" s="11">
        <v>15155933.770498887</v>
      </c>
      <c r="I8" s="11">
        <v>91840213.06919987</v>
      </c>
    </row>
    <row r="9" spans="1:9" ht="12.75">
      <c r="A9" s="13">
        <v>1907</v>
      </c>
      <c r="B9" s="11">
        <v>24871.39103161821</v>
      </c>
      <c r="C9" s="11">
        <v>124006.57416054039</v>
      </c>
      <c r="D9" s="11">
        <v>241836.04029672692</v>
      </c>
      <c r="E9" s="11">
        <v>449872.2363232115</v>
      </c>
      <c r="F9" s="11">
        <v>1552341.1819993362</v>
      </c>
      <c r="G9" s="11">
        <v>2350587.4804624957</v>
      </c>
      <c r="H9" s="11">
        <v>5717667.921352156</v>
      </c>
      <c r="I9" s="11">
        <v>12077034.41476662</v>
      </c>
    </row>
    <row r="10" spans="1:9" ht="12.75">
      <c r="A10" s="13">
        <v>1909</v>
      </c>
      <c r="B10" s="11">
        <v>29563.677402552305</v>
      </c>
      <c r="C10" s="11">
        <v>147269.94651472036</v>
      </c>
      <c r="D10" s="11">
        <v>287795.10113607446</v>
      </c>
      <c r="E10" s="11">
        <v>542701.0895838672</v>
      </c>
      <c r="F10" s="11">
        <v>1977783.9165065372</v>
      </c>
      <c r="G10" s="11">
        <v>3190536.5456886133</v>
      </c>
      <c r="H10" s="11">
        <v>8865909.412113195</v>
      </c>
      <c r="I10" s="11">
        <v>34503183.202702954</v>
      </c>
    </row>
    <row r="11" spans="1:9" ht="12.75">
      <c r="A11" s="13">
        <v>1910</v>
      </c>
      <c r="B11" s="11">
        <v>28657.419331101217</v>
      </c>
      <c r="C11" s="11">
        <v>142713.7591509528</v>
      </c>
      <c r="D11" s="11">
        <v>278495.0311412056</v>
      </c>
      <c r="E11" s="11">
        <v>520693.8666270204</v>
      </c>
      <c r="F11" s="11">
        <v>1820944.52566242</v>
      </c>
      <c r="G11" s="11">
        <v>2783555.3097426672</v>
      </c>
      <c r="H11" s="11">
        <v>7665411.020232403</v>
      </c>
      <c r="I11" s="11">
        <v>25350112.224418823</v>
      </c>
    </row>
    <row r="12" spans="1:9" ht="12.75">
      <c r="A12" s="13">
        <v>1911</v>
      </c>
      <c r="B12" s="11">
        <v>32474.645455021193</v>
      </c>
      <c r="C12" s="11">
        <v>161923.70074514727</v>
      </c>
      <c r="D12" s="11">
        <v>317220.220083666</v>
      </c>
      <c r="E12" s="11">
        <v>598870.1914551762</v>
      </c>
      <c r="F12" s="11">
        <v>2137037.6552355937</v>
      </c>
      <c r="G12" s="11">
        <v>3266986.955354724</v>
      </c>
      <c r="H12" s="11">
        <v>10902683.04389385</v>
      </c>
      <c r="I12" s="11">
        <v>61846436.47508344</v>
      </c>
    </row>
    <row r="13" spans="1:9" ht="12.75">
      <c r="A13" s="13">
        <v>1912</v>
      </c>
      <c r="B13" s="11">
        <v>32746.354194219613</v>
      </c>
      <c r="C13" s="11">
        <v>163267.2847821063</v>
      </c>
      <c r="D13" s="11">
        <v>319883.3154862052</v>
      </c>
      <c r="E13" s="11">
        <v>603743.7093157744</v>
      </c>
      <c r="F13" s="11">
        <v>2278321.6599210617</v>
      </c>
      <c r="G13" s="11">
        <v>3772881.5146260434</v>
      </c>
      <c r="H13" s="11">
        <v>11518163.347862042</v>
      </c>
      <c r="I13" s="11">
        <v>59417481.001652524</v>
      </c>
    </row>
    <row r="14" spans="1:9" ht="12.75">
      <c r="A14" s="13">
        <v>1913</v>
      </c>
      <c r="B14" s="11">
        <v>30329.363547812023</v>
      </c>
      <c r="C14" s="11">
        <v>150926.8316292231</v>
      </c>
      <c r="D14" s="11">
        <v>294357.2884806856</v>
      </c>
      <c r="E14" s="11">
        <v>549840.9964430726</v>
      </c>
      <c r="F14" s="11">
        <v>1981741.849231838</v>
      </c>
      <c r="G14" s="11">
        <v>3242606.584219075</v>
      </c>
      <c r="H14" s="11">
        <v>9523799.139326269</v>
      </c>
      <c r="I14" s="11">
        <v>32918087.71057362</v>
      </c>
    </row>
    <row r="15" spans="1:9" ht="12.75">
      <c r="A15" s="13" t="s">
        <v>74</v>
      </c>
      <c r="B15" s="11">
        <v>30118.825937425016</v>
      </c>
      <c r="C15" s="11">
        <f aca="true" t="shared" si="0" ref="C15:I15">AVERAGE(C5:C14)</f>
        <v>150159.10789116815</v>
      </c>
      <c r="D15" s="11">
        <f t="shared" si="0"/>
        <v>293664.80161665427</v>
      </c>
      <c r="E15" s="11">
        <f t="shared" si="0"/>
        <v>550857.8671457595</v>
      </c>
      <c r="F15" s="11">
        <f t="shared" si="0"/>
        <v>1988322.305456581</v>
      </c>
      <c r="G15" s="11">
        <f t="shared" si="0"/>
        <v>3200696.076581389</v>
      </c>
      <c r="H15" s="11">
        <f t="shared" si="0"/>
        <v>9488963.187287102</v>
      </c>
      <c r="I15" s="11">
        <f t="shared" si="0"/>
        <v>41934497.940916106</v>
      </c>
    </row>
    <row r="16" ht="12.75">
      <c r="A16" s="13"/>
    </row>
    <row r="17" spans="1:8" ht="12.75">
      <c r="A17" s="21" t="s">
        <v>84</v>
      </c>
      <c r="B17" s="13" t="s">
        <v>49</v>
      </c>
      <c r="C17" s="13" t="s">
        <v>11</v>
      </c>
      <c r="D17" s="13" t="s">
        <v>12</v>
      </c>
      <c r="E17" s="13" t="s">
        <v>13</v>
      </c>
      <c r="F17" s="13" t="s">
        <v>14</v>
      </c>
      <c r="G17" s="13" t="s">
        <v>15</v>
      </c>
      <c r="H17" s="13" t="s">
        <v>16</v>
      </c>
    </row>
    <row r="18" spans="1:8" ht="12.75">
      <c r="A18" s="13">
        <v>1902</v>
      </c>
      <c r="B18" s="11">
        <v>1814.6179205644933</v>
      </c>
      <c r="C18" s="11">
        <v>11787.98164675301</v>
      </c>
      <c r="D18" s="11">
        <v>58388.66306073145</v>
      </c>
      <c r="E18" s="11">
        <v>487939.69885050727</v>
      </c>
      <c r="F18" s="11">
        <v>905086.4130509389</v>
      </c>
      <c r="G18" s="11">
        <v>2426435.1563318013</v>
      </c>
      <c r="H18" s="11">
        <v>8767899.072143594</v>
      </c>
    </row>
    <row r="19" spans="1:8" ht="12.75">
      <c r="A19" s="13">
        <v>1903</v>
      </c>
      <c r="B19" s="11">
        <v>1937.8827096566633</v>
      </c>
      <c r="C19" s="11">
        <v>12110.331181028296</v>
      </c>
      <c r="D19" s="11">
        <v>60646.60266278616</v>
      </c>
      <c r="E19" s="11">
        <v>514460.93067261943</v>
      </c>
      <c r="F19" s="11">
        <v>1007750.5898535801</v>
      </c>
      <c r="G19" s="11">
        <v>2788360.091636944</v>
      </c>
      <c r="H19" s="11">
        <v>11641744.531858534</v>
      </c>
    </row>
    <row r="20" spans="1:8" ht="12.75">
      <c r="A20" s="13">
        <v>1904</v>
      </c>
      <c r="B20" s="11">
        <v>1894.620794052278</v>
      </c>
      <c r="C20" s="11">
        <v>11533.509553901864</v>
      </c>
      <c r="D20" s="11">
        <v>57576.62809208755</v>
      </c>
      <c r="E20" s="11">
        <v>527857.1024936382</v>
      </c>
      <c r="F20" s="11">
        <v>1006036.2809368061</v>
      </c>
      <c r="G20" s="11">
        <v>3475501.4407806345</v>
      </c>
      <c r="H20" s="11">
        <v>17006490.28008645</v>
      </c>
    </row>
    <row r="21" spans="1:8" ht="12.75">
      <c r="A21" s="13">
        <v>1905</v>
      </c>
      <c r="B21" s="11">
        <v>1953.8951185344965</v>
      </c>
      <c r="C21" s="11">
        <v>11816.444558763555</v>
      </c>
      <c r="D21" s="11">
        <v>56238.278778500244</v>
      </c>
      <c r="E21" s="11">
        <v>549636.8791395153</v>
      </c>
      <c r="F21" s="11">
        <v>1057092.3086100896</v>
      </c>
      <c r="G21" s="11">
        <v>3755825.593165063</v>
      </c>
      <c r="H21" s="11">
        <v>17723549.890547346</v>
      </c>
    </row>
    <row r="22" spans="1:8" ht="12.75">
      <c r="A22" s="13">
        <v>1907</v>
      </c>
      <c r="B22" s="11">
        <v>1941.2441441697713</v>
      </c>
      <c r="C22" s="11">
        <v>11903.653720983928</v>
      </c>
      <c r="D22" s="11">
        <v>56733.527632127385</v>
      </c>
      <c r="E22" s="11">
        <v>504084.73412413534</v>
      </c>
      <c r="F22" s="11">
        <v>990301.9256799978</v>
      </c>
      <c r="G22" s="11">
        <v>3562724.3866917575</v>
      </c>
      <c r="H22" s="11">
        <v>5597439.013147303</v>
      </c>
    </row>
    <row r="23" spans="1:8" ht="12.75">
      <c r="A23" s="13">
        <v>1909</v>
      </c>
      <c r="B23" s="11">
        <v>2050.839818901942</v>
      </c>
      <c r="C23" s="11">
        <v>12480.970949224755</v>
      </c>
      <c r="D23" s="11">
        <v>56489.95892615203</v>
      </c>
      <c r="E23" s="11">
        <v>542218.4561481329</v>
      </c>
      <c r="F23" s="11">
        <v>1078924.4337140266</v>
      </c>
      <c r="G23" s="11">
        <v>4044799.1824598256</v>
      </c>
      <c r="H23" s="11">
        <v>13177145.122967985</v>
      </c>
    </row>
    <row r="24" spans="1:8" ht="12.75">
      <c r="A24" s="13">
        <v>1910</v>
      </c>
      <c r="B24" s="11">
        <v>2067.1374756809487</v>
      </c>
      <c r="C24" s="11">
        <v>12399.485524467329</v>
      </c>
      <c r="D24" s="11">
        <v>58582.11692884511</v>
      </c>
      <c r="E24" s="11">
        <v>552879.170993444</v>
      </c>
      <c r="F24" s="11">
        <v>1152000.144935622</v>
      </c>
      <c r="G24" s="11">
        <v>3576021.176302695</v>
      </c>
      <c r="H24" s="11">
        <v>12216553.585455293</v>
      </c>
    </row>
    <row r="25" spans="1:8" ht="12.75">
      <c r="A25" s="13">
        <v>1911</v>
      </c>
      <c r="B25" s="11">
        <v>2016.6399650300398</v>
      </c>
      <c r="C25" s="11">
        <v>12277.983362576686</v>
      </c>
      <c r="D25" s="11">
        <v>58285.03012786141</v>
      </c>
      <c r="E25" s="11">
        <v>602898.2444540479</v>
      </c>
      <c r="F25" s="11">
        <v>1232545.7352609483</v>
      </c>
      <c r="G25" s="11">
        <v>3156044.811724238</v>
      </c>
      <c r="H25" s="11">
        <v>10386474.660705756</v>
      </c>
    </row>
    <row r="26" spans="1:8" ht="12.75">
      <c r="A26" s="13">
        <v>1912</v>
      </c>
      <c r="B26" s="11">
        <v>1975.6443124605028</v>
      </c>
      <c r="C26" s="11">
        <v>11908.573864332151</v>
      </c>
      <c r="D26" s="11">
        <v>57405.54985203617</v>
      </c>
      <c r="E26" s="11">
        <v>509495.8578505785</v>
      </c>
      <c r="F26" s="11">
        <v>1058838.0818825255</v>
      </c>
      <c r="G26" s="11">
        <v>3416470.185424901</v>
      </c>
      <c r="H26" s="11">
        <v>17863678.692266736</v>
      </c>
    </row>
    <row r="27" spans="1:8" ht="12.75">
      <c r="A27" s="13">
        <v>1913</v>
      </c>
      <c r="B27" s="11">
        <v>2188.745896020102</v>
      </c>
      <c r="C27" s="11">
        <v>12708.479308332098</v>
      </c>
      <c r="D27" s="11">
        <v>60509.86559662563</v>
      </c>
      <c r="E27" s="11">
        <v>516144.39302053244</v>
      </c>
      <c r="F27" s="11">
        <v>1012465.8863663286</v>
      </c>
      <c r="G27" s="11">
        <v>3843022.023727068</v>
      </c>
      <c r="H27" s="11">
        <v>16554730.195818642</v>
      </c>
    </row>
    <row r="28" spans="1:8" ht="12.75">
      <c r="A28" s="13" t="s">
        <v>74</v>
      </c>
      <c r="B28" s="11">
        <f aca="true" t="shared" si="1" ref="B28:H28">AVERAGE(B18:B27)</f>
        <v>1984.1268155071236</v>
      </c>
      <c r="C28" s="11">
        <f t="shared" si="1"/>
        <v>12092.741367036368</v>
      </c>
      <c r="D28" s="11">
        <f t="shared" si="1"/>
        <v>58085.62216577531</v>
      </c>
      <c r="E28" s="11">
        <f t="shared" si="1"/>
        <v>530761.5467747151</v>
      </c>
      <c r="F28" s="11">
        <f t="shared" si="1"/>
        <v>1050104.1800290863</v>
      </c>
      <c r="G28" s="11">
        <f t="shared" si="1"/>
        <v>3404520.4048244925</v>
      </c>
      <c r="H28" s="11">
        <f t="shared" si="1"/>
        <v>13093570.504499765</v>
      </c>
    </row>
    <row r="29" spans="1:9" ht="13.5">
      <c r="A29" s="16"/>
      <c r="B29" s="17"/>
      <c r="C29" s="17"/>
      <c r="D29" s="17"/>
      <c r="E29" s="17"/>
      <c r="F29" s="17"/>
      <c r="G29" s="17"/>
      <c r="H29" s="17"/>
      <c r="I29" s="17"/>
    </row>
    <row r="30" spans="1:9" ht="12.75">
      <c r="A30" s="21" t="s">
        <v>86</v>
      </c>
      <c r="B30" s="13" t="s">
        <v>11</v>
      </c>
      <c r="C30" s="13" t="s">
        <v>12</v>
      </c>
      <c r="D30" s="13" t="s">
        <v>13</v>
      </c>
      <c r="E30" s="13" t="s">
        <v>14</v>
      </c>
      <c r="F30" s="13" t="s">
        <v>15</v>
      </c>
      <c r="G30" s="13" t="s">
        <v>16</v>
      </c>
      <c r="H30" s="17"/>
      <c r="I30" s="17"/>
    </row>
    <row r="31" spans="1:9" ht="12.75">
      <c r="A31" s="13">
        <v>1902</v>
      </c>
      <c r="B31" s="12">
        <f aca="true" t="shared" si="2" ref="B31:G41">C18/$C18</f>
        <v>1</v>
      </c>
      <c r="C31" s="12">
        <f t="shared" si="2"/>
        <v>4.953236678716289</v>
      </c>
      <c r="D31" s="12">
        <f t="shared" si="2"/>
        <v>41.39298087428816</v>
      </c>
      <c r="E31" s="12">
        <f t="shared" si="2"/>
        <v>76.78043961836708</v>
      </c>
      <c r="F31" s="12">
        <f t="shared" si="2"/>
        <v>205.83974670508252</v>
      </c>
      <c r="G31" s="12">
        <f t="shared" si="2"/>
        <v>743.7998577609513</v>
      </c>
      <c r="H31" s="17"/>
      <c r="I31" s="17"/>
    </row>
    <row r="32" spans="1:9" ht="12.75">
      <c r="A32" s="13">
        <v>1903</v>
      </c>
      <c r="B32" s="12">
        <f t="shared" si="2"/>
        <v>1</v>
      </c>
      <c r="C32" s="12">
        <f t="shared" si="2"/>
        <v>5.007840145428345</v>
      </c>
      <c r="D32" s="12">
        <f t="shared" si="2"/>
        <v>42.481161165811834</v>
      </c>
      <c r="E32" s="12">
        <f t="shared" si="2"/>
        <v>83.21412311434503</v>
      </c>
      <c r="F32" s="12">
        <f t="shared" si="2"/>
        <v>230.24639458292523</v>
      </c>
      <c r="G32" s="12">
        <f t="shared" si="2"/>
        <v>961.3068674865112</v>
      </c>
      <c r="H32" s="17"/>
      <c r="I32" s="17"/>
    </row>
    <row r="33" spans="1:9" ht="12.75">
      <c r="A33" s="13">
        <v>1904</v>
      </c>
      <c r="B33" s="12">
        <f t="shared" si="2"/>
        <v>1</v>
      </c>
      <c r="C33" s="12">
        <f t="shared" si="2"/>
        <v>4.992116911422594</v>
      </c>
      <c r="D33" s="12">
        <f t="shared" si="2"/>
        <v>45.76725757469551</v>
      </c>
      <c r="E33" s="12">
        <f t="shared" si="2"/>
        <v>87.22724650593949</v>
      </c>
      <c r="F33" s="12">
        <f t="shared" si="2"/>
        <v>301.3394513212025</v>
      </c>
      <c r="G33" s="12">
        <f t="shared" si="2"/>
        <v>1474.528650677108</v>
      </c>
      <c r="H33" s="17"/>
      <c r="I33" s="17"/>
    </row>
    <row r="34" spans="1:9" ht="12.75">
      <c r="A34" s="13">
        <v>1905</v>
      </c>
      <c r="B34" s="12">
        <f t="shared" si="2"/>
        <v>1</v>
      </c>
      <c r="C34" s="12">
        <f t="shared" si="2"/>
        <v>4.759323204101326</v>
      </c>
      <c r="D34" s="12">
        <f t="shared" si="2"/>
        <v>46.514573517114535</v>
      </c>
      <c r="E34" s="12">
        <f t="shared" si="2"/>
        <v>89.45942270140023</v>
      </c>
      <c r="F34" s="12">
        <f t="shared" si="2"/>
        <v>317.8473503165206</v>
      </c>
      <c r="G34" s="12">
        <f t="shared" si="2"/>
        <v>1499.9054751543554</v>
      </c>
      <c r="H34" s="17"/>
      <c r="I34" s="17"/>
    </row>
    <row r="35" spans="1:9" ht="12.75">
      <c r="A35" s="13">
        <v>1907</v>
      </c>
      <c r="B35" s="12">
        <f t="shared" si="2"/>
        <v>1</v>
      </c>
      <c r="C35" s="12">
        <f t="shared" si="2"/>
        <v>4.766059981408627</v>
      </c>
      <c r="D35" s="12">
        <f t="shared" si="2"/>
        <v>42.34705964568909</v>
      </c>
      <c r="E35" s="12">
        <f t="shared" si="2"/>
        <v>83.19310599016163</v>
      </c>
      <c r="F35" s="12">
        <f t="shared" si="2"/>
        <v>299.29670924577863</v>
      </c>
      <c r="G35" s="12">
        <f t="shared" si="2"/>
        <v>470.2286494843225</v>
      </c>
      <c r="H35" s="17"/>
      <c r="I35" s="17"/>
    </row>
    <row r="36" spans="1:9" ht="12.75">
      <c r="A36" s="13">
        <v>1909</v>
      </c>
      <c r="B36" s="12">
        <f t="shared" si="2"/>
        <v>1</v>
      </c>
      <c r="C36" s="12">
        <f t="shared" si="2"/>
        <v>4.526086885064087</v>
      </c>
      <c r="D36" s="12">
        <f t="shared" si="2"/>
        <v>43.443611747354666</v>
      </c>
      <c r="E36" s="12">
        <f t="shared" si="2"/>
        <v>86.4455528422685</v>
      </c>
      <c r="F36" s="12">
        <f t="shared" si="2"/>
        <v>324.0772852460701</v>
      </c>
      <c r="G36" s="12">
        <f t="shared" si="2"/>
        <v>1055.778847380978</v>
      </c>
      <c r="H36" s="17"/>
      <c r="I36" s="17"/>
    </row>
    <row r="37" spans="1:9" ht="12.75">
      <c r="A37" s="13">
        <v>1910</v>
      </c>
      <c r="B37" s="12">
        <f t="shared" si="2"/>
        <v>1</v>
      </c>
      <c r="C37" s="12">
        <f t="shared" si="2"/>
        <v>4.7245602902836366</v>
      </c>
      <c r="D37" s="12">
        <f t="shared" si="2"/>
        <v>44.588879909773134</v>
      </c>
      <c r="E37" s="12">
        <f t="shared" si="2"/>
        <v>92.90709220656242</v>
      </c>
      <c r="F37" s="12">
        <f t="shared" si="2"/>
        <v>288.40077027762953</v>
      </c>
      <c r="G37" s="12">
        <f t="shared" si="2"/>
        <v>985.2468121640156</v>
      </c>
      <c r="H37" s="17"/>
      <c r="I37" s="17"/>
    </row>
    <row r="38" spans="1:9" ht="12.75">
      <c r="A38" s="13">
        <v>1911</v>
      </c>
      <c r="B38" s="12">
        <f t="shared" si="2"/>
        <v>1</v>
      </c>
      <c r="C38" s="12">
        <f t="shared" si="2"/>
        <v>4.747117536053541</v>
      </c>
      <c r="D38" s="12">
        <f t="shared" si="2"/>
        <v>49.10401216959478</v>
      </c>
      <c r="E38" s="12">
        <f t="shared" si="2"/>
        <v>100.38665950776165</v>
      </c>
      <c r="F38" s="12">
        <f t="shared" si="2"/>
        <v>257.0491194298135</v>
      </c>
      <c r="G38" s="12">
        <f t="shared" si="2"/>
        <v>845.9430473219038</v>
      </c>
      <c r="H38" s="17"/>
      <c r="I38" s="17"/>
    </row>
    <row r="39" spans="1:9" ht="12.75">
      <c r="A39" s="13">
        <v>1912</v>
      </c>
      <c r="B39" s="12">
        <f t="shared" si="2"/>
        <v>1</v>
      </c>
      <c r="C39" s="12">
        <f t="shared" si="2"/>
        <v>4.820522634030414</v>
      </c>
      <c r="D39" s="12">
        <f t="shared" si="2"/>
        <v>42.783952440903946</v>
      </c>
      <c r="E39" s="12">
        <f t="shared" si="2"/>
        <v>88.91392822896233</v>
      </c>
      <c r="F39" s="12">
        <f t="shared" si="2"/>
        <v>286.8916315544474</v>
      </c>
      <c r="G39" s="12">
        <f t="shared" si="2"/>
        <v>1500.0686812525016</v>
      </c>
      <c r="H39" s="17"/>
      <c r="I39" s="17"/>
    </row>
    <row r="40" spans="1:9" ht="12.75">
      <c r="A40" s="13">
        <v>1913</v>
      </c>
      <c r="B40" s="12">
        <f t="shared" si="2"/>
        <v>1</v>
      </c>
      <c r="C40" s="12">
        <f t="shared" si="2"/>
        <v>4.761377355113869</v>
      </c>
      <c r="D40" s="12">
        <f t="shared" si="2"/>
        <v>40.61417424523256</v>
      </c>
      <c r="E40" s="12">
        <f t="shared" si="2"/>
        <v>79.66853167888644</v>
      </c>
      <c r="F40" s="12">
        <f t="shared" si="2"/>
        <v>302.3982594996599</v>
      </c>
      <c r="G40" s="12">
        <f t="shared" si="2"/>
        <v>1302.6523311065876</v>
      </c>
      <c r="H40" s="17"/>
      <c r="I40" s="17"/>
    </row>
    <row r="41" spans="1:9" ht="12.75">
      <c r="A41" s="13" t="s">
        <v>74</v>
      </c>
      <c r="B41" s="12">
        <f t="shared" si="2"/>
        <v>1</v>
      </c>
      <c r="C41" s="12">
        <f t="shared" si="2"/>
        <v>4.803346106790231</v>
      </c>
      <c r="D41" s="12">
        <f t="shared" si="2"/>
        <v>43.89092023596231</v>
      </c>
      <c r="E41" s="12">
        <f t="shared" si="2"/>
        <v>86.83756215042916</v>
      </c>
      <c r="F41" s="12">
        <f t="shared" si="2"/>
        <v>281.5342114323955</v>
      </c>
      <c r="G41" s="12">
        <f t="shared" si="2"/>
        <v>1082.7628001861976</v>
      </c>
      <c r="H41" s="17"/>
      <c r="I41" s="17"/>
    </row>
    <row r="42" ht="12.75">
      <c r="A42" s="13"/>
    </row>
    <row r="43" spans="1:9" ht="12.75">
      <c r="A43" s="21" t="s">
        <v>85</v>
      </c>
      <c r="B43" s="13" t="s">
        <v>61</v>
      </c>
      <c r="C43" s="13" t="s">
        <v>50</v>
      </c>
      <c r="D43" s="13" t="s">
        <v>51</v>
      </c>
      <c r="E43" s="13" t="s">
        <v>52</v>
      </c>
      <c r="F43" s="13" t="s">
        <v>53</v>
      </c>
      <c r="G43" s="13" t="s">
        <v>54</v>
      </c>
      <c r="H43" s="13" t="s">
        <v>55</v>
      </c>
      <c r="I43" s="13" t="s">
        <v>56</v>
      </c>
    </row>
    <row r="44" spans="1:9" ht="12.75">
      <c r="A44" s="13">
        <v>1902</v>
      </c>
      <c r="B44" s="12">
        <f aca="true" t="shared" si="3" ref="B44:B54">100*B5/$B5</f>
        <v>100</v>
      </c>
      <c r="C44" s="12">
        <f aca="true" t="shared" si="4" ref="C44:C54">20*C5/$B5</f>
        <v>99.61344778676562</v>
      </c>
      <c r="D44" s="12">
        <f aca="true" t="shared" si="5" ref="D44:D54">10*D5/$B5</f>
        <v>96.61260272679971</v>
      </c>
      <c r="E44" s="12">
        <f aca="true" t="shared" si="6" ref="E44:E54">5*E5/$B5</f>
        <v>87.80649410589677</v>
      </c>
      <c r="F44" s="12">
        <f aca="true" t="shared" si="7" ref="F44:F54">1*F5/$B5</f>
        <v>58.700163174096346</v>
      </c>
      <c r="G44" s="12">
        <f aca="true" t="shared" si="8" ref="G44:G54">0.5*G5/$B5</f>
        <v>46.63702284827349</v>
      </c>
      <c r="H44" s="12">
        <f aca="true" t="shared" si="9" ref="H44:H54">0.1*H5/$B5</f>
        <v>25.005725463107016</v>
      </c>
      <c r="I44" s="12">
        <f aca="true" t="shared" si="10" ref="I44:I54">0.01*I5/$B5</f>
        <v>7.053248889715386</v>
      </c>
    </row>
    <row r="45" spans="1:9" ht="12.75">
      <c r="A45" s="13">
        <v>1903</v>
      </c>
      <c r="B45" s="12">
        <f t="shared" si="3"/>
        <v>100</v>
      </c>
      <c r="C45" s="12">
        <f t="shared" si="4"/>
        <v>99.73091417600823</v>
      </c>
      <c r="D45" s="12">
        <f t="shared" si="5"/>
        <v>97.38398785197985</v>
      </c>
      <c r="E45" s="12">
        <f t="shared" si="6"/>
        <v>90.50832126370632</v>
      </c>
      <c r="F45" s="12">
        <f t="shared" si="7"/>
        <v>62.67786452174968</v>
      </c>
      <c r="G45" s="12">
        <f t="shared" si="8"/>
        <v>48.96813201167485</v>
      </c>
      <c r="H45" s="12">
        <f t="shared" si="9"/>
        <v>25.979736847227556</v>
      </c>
      <c r="I45" s="12">
        <f t="shared" si="10"/>
        <v>8.440161365628885</v>
      </c>
    </row>
    <row r="46" spans="1:9" ht="12.75">
      <c r="A46" s="13">
        <v>1904</v>
      </c>
      <c r="B46" s="12">
        <f t="shared" si="3"/>
        <v>100</v>
      </c>
      <c r="C46" s="12">
        <f t="shared" si="4"/>
        <v>99.80856903381908</v>
      </c>
      <c r="D46" s="12">
        <f t="shared" si="5"/>
        <v>98.09894175533707</v>
      </c>
      <c r="E46" s="12">
        <f t="shared" si="6"/>
        <v>92.83281987423995</v>
      </c>
      <c r="F46" s="12">
        <f t="shared" si="7"/>
        <v>69.22526595651155</v>
      </c>
      <c r="G46" s="12">
        <f t="shared" si="8"/>
        <v>58.16523114810893</v>
      </c>
      <c r="H46" s="12">
        <f t="shared" si="9"/>
        <v>36.455022170016456</v>
      </c>
      <c r="I46" s="12">
        <f t="shared" si="10"/>
        <v>18.17547723259559</v>
      </c>
    </row>
    <row r="47" spans="1:9" ht="12.75">
      <c r="A47" s="13">
        <v>1905</v>
      </c>
      <c r="B47" s="12">
        <f t="shared" si="3"/>
        <v>100</v>
      </c>
      <c r="C47" s="12">
        <f t="shared" si="4"/>
        <v>99.8033874026496</v>
      </c>
      <c r="D47" s="12">
        <f t="shared" si="5"/>
        <v>98.10437922426884</v>
      </c>
      <c r="E47" s="12">
        <f t="shared" si="6"/>
        <v>93.44069030760613</v>
      </c>
      <c r="F47" s="12">
        <f t="shared" si="7"/>
        <v>71.7016450908562</v>
      </c>
      <c r="G47" s="12">
        <f t="shared" si="8"/>
        <v>61.148882659043636</v>
      </c>
      <c r="H47" s="12">
        <f t="shared" si="9"/>
        <v>41.192415774666856</v>
      </c>
      <c r="I47" s="12">
        <f t="shared" si="10"/>
        <v>24.961314155016563</v>
      </c>
    </row>
    <row r="48" spans="1:9" ht="12.75">
      <c r="A48" s="13">
        <v>1907</v>
      </c>
      <c r="B48" s="12">
        <f t="shared" si="3"/>
        <v>100</v>
      </c>
      <c r="C48" s="12">
        <f t="shared" si="4"/>
        <v>99.7182457570586</v>
      </c>
      <c r="D48" s="12">
        <f t="shared" si="5"/>
        <v>97.23462591589205</v>
      </c>
      <c r="E48" s="12">
        <f t="shared" si="6"/>
        <v>90.4397015332402</v>
      </c>
      <c r="F48" s="12">
        <f t="shared" si="7"/>
        <v>62.41473104684391</v>
      </c>
      <c r="G48" s="12">
        <f t="shared" si="8"/>
        <v>47.25484548641185</v>
      </c>
      <c r="H48" s="12">
        <f t="shared" si="9"/>
        <v>22.988935014062815</v>
      </c>
      <c r="I48" s="12">
        <f t="shared" si="10"/>
        <v>4.8557937106989595</v>
      </c>
    </row>
    <row r="49" spans="1:9" ht="12.75">
      <c r="A49" s="13">
        <v>1909</v>
      </c>
      <c r="B49" s="12">
        <f t="shared" si="3"/>
        <v>100</v>
      </c>
      <c r="C49" s="12">
        <f t="shared" si="4"/>
        <v>99.62897680787586</v>
      </c>
      <c r="D49" s="12">
        <f t="shared" si="5"/>
        <v>97.34753130245846</v>
      </c>
      <c r="E49" s="12">
        <f t="shared" si="6"/>
        <v>91.78511221628581</v>
      </c>
      <c r="F49" s="12">
        <f t="shared" si="7"/>
        <v>66.89911710157513</v>
      </c>
      <c r="G49" s="12">
        <f t="shared" si="8"/>
        <v>53.960414028417965</v>
      </c>
      <c r="H49" s="12">
        <f t="shared" si="9"/>
        <v>29.989196849197725</v>
      </c>
      <c r="I49" s="12">
        <f t="shared" si="10"/>
        <v>11.670802225613587</v>
      </c>
    </row>
    <row r="50" spans="1:9" ht="12.75">
      <c r="A50" s="13">
        <v>1910</v>
      </c>
      <c r="B50" s="12">
        <f t="shared" si="3"/>
        <v>100</v>
      </c>
      <c r="C50" s="12">
        <f t="shared" si="4"/>
        <v>99.59986801468123</v>
      </c>
      <c r="D50" s="12">
        <f t="shared" si="5"/>
        <v>97.18077818645783</v>
      </c>
      <c r="E50" s="12">
        <f t="shared" si="6"/>
        <v>90.84800355032732</v>
      </c>
      <c r="F50" s="12">
        <f t="shared" si="7"/>
        <v>63.54181807592815</v>
      </c>
      <c r="G50" s="12">
        <f t="shared" si="8"/>
        <v>48.566049817363364</v>
      </c>
      <c r="H50" s="12">
        <f t="shared" si="9"/>
        <v>26.74843443391748</v>
      </c>
      <c r="I50" s="12">
        <f t="shared" si="10"/>
        <v>8.845915932460446</v>
      </c>
    </row>
    <row r="51" spans="1:9" ht="12.75">
      <c r="A51" s="13">
        <v>1911</v>
      </c>
      <c r="B51" s="12">
        <f t="shared" si="3"/>
        <v>100</v>
      </c>
      <c r="C51" s="12">
        <f t="shared" si="4"/>
        <v>99.72315230934157</v>
      </c>
      <c r="D51" s="12">
        <f t="shared" si="5"/>
        <v>97.68242751811714</v>
      </c>
      <c r="E51" s="12">
        <f t="shared" si="6"/>
        <v>92.20580903410287</v>
      </c>
      <c r="F51" s="12">
        <f t="shared" si="7"/>
        <v>65.80634292668367</v>
      </c>
      <c r="G51" s="12">
        <f t="shared" si="8"/>
        <v>50.30057926082125</v>
      </c>
      <c r="H51" s="12">
        <f t="shared" si="9"/>
        <v>33.572908621880245</v>
      </c>
      <c r="I51" s="12">
        <f t="shared" si="10"/>
        <v>19.044530158379548</v>
      </c>
    </row>
    <row r="52" spans="1:9" ht="12.75">
      <c r="A52" s="13">
        <v>1912</v>
      </c>
      <c r="B52" s="12">
        <f t="shared" si="3"/>
        <v>100</v>
      </c>
      <c r="C52" s="12">
        <f t="shared" si="4"/>
        <v>99.71631273134292</v>
      </c>
      <c r="D52" s="12">
        <f t="shared" si="5"/>
        <v>97.68516934403374</v>
      </c>
      <c r="E52" s="12">
        <f t="shared" si="6"/>
        <v>92.18487434279741</v>
      </c>
      <c r="F52" s="12">
        <f t="shared" si="7"/>
        <v>69.57481881519595</v>
      </c>
      <c r="G52" s="12">
        <f t="shared" si="8"/>
        <v>57.60765751584084</v>
      </c>
      <c r="H52" s="12">
        <f t="shared" si="9"/>
        <v>35.17388005866995</v>
      </c>
      <c r="I52" s="12">
        <f t="shared" si="10"/>
        <v>18.144762207495116</v>
      </c>
    </row>
    <row r="53" spans="1:9" ht="12.75">
      <c r="A53" s="13">
        <v>1913</v>
      </c>
      <c r="B53" s="12">
        <f t="shared" si="3"/>
        <v>100</v>
      </c>
      <c r="C53" s="12">
        <f t="shared" si="4"/>
        <v>99.52522174842079</v>
      </c>
      <c r="D53" s="12">
        <f t="shared" si="5"/>
        <v>97.05356593344034</v>
      </c>
      <c r="E53" s="12">
        <f t="shared" si="6"/>
        <v>90.64499417804933</v>
      </c>
      <c r="F53" s="12">
        <f t="shared" si="7"/>
        <v>65.34070014716157</v>
      </c>
      <c r="G53" s="12">
        <f t="shared" si="8"/>
        <v>53.45655504948765</v>
      </c>
      <c r="H53" s="12">
        <f t="shared" si="9"/>
        <v>31.40124956566496</v>
      </c>
      <c r="I53" s="12">
        <f t="shared" si="10"/>
        <v>10.85353725233326</v>
      </c>
    </row>
    <row r="54" spans="1:9" ht="12.75">
      <c r="A54" s="13" t="s">
        <v>74</v>
      </c>
      <c r="B54" s="12">
        <f t="shared" si="3"/>
        <v>100</v>
      </c>
      <c r="C54" s="12">
        <f t="shared" si="4"/>
        <v>99.7111296457168</v>
      </c>
      <c r="D54" s="12">
        <f t="shared" si="5"/>
        <v>97.50207469134864</v>
      </c>
      <c r="E54" s="12">
        <f t="shared" si="6"/>
        <v>91.44743362344599</v>
      </c>
      <c r="F54" s="12">
        <f t="shared" si="7"/>
        <v>66.01593002288757</v>
      </c>
      <c r="G54" s="12">
        <f t="shared" si="8"/>
        <v>53.13447614510551</v>
      </c>
      <c r="H54" s="12">
        <f t="shared" si="9"/>
        <v>31.50508989627088</v>
      </c>
      <c r="I54" s="12">
        <f t="shared" si="10"/>
        <v>13.923018788328395</v>
      </c>
    </row>
    <row r="55" ht="12.75">
      <c r="A55" s="13"/>
    </row>
    <row r="56" spans="1:9" ht="12.75">
      <c r="A56" s="21" t="s">
        <v>85</v>
      </c>
      <c r="B56" s="13" t="s">
        <v>62</v>
      </c>
      <c r="C56" s="13" t="s">
        <v>63</v>
      </c>
      <c r="D56" s="13" t="s">
        <v>64</v>
      </c>
      <c r="E56" s="13" t="s">
        <v>65</v>
      </c>
      <c r="F56" s="13" t="s">
        <v>66</v>
      </c>
      <c r="G56" s="13" t="s">
        <v>67</v>
      </c>
      <c r="H56" s="13" t="s">
        <v>68</v>
      </c>
      <c r="I56" s="13" t="s">
        <v>56</v>
      </c>
    </row>
    <row r="57" spans="1:9" ht="12.75">
      <c r="A57" s="13">
        <v>1902</v>
      </c>
      <c r="B57" s="12">
        <f aca="true" t="shared" si="11" ref="B57:I67">B44-C44</f>
        <v>0.38655221323438127</v>
      </c>
      <c r="C57" s="12">
        <f t="shared" si="11"/>
        <v>3.0008450599659113</v>
      </c>
      <c r="D57" s="12">
        <f t="shared" si="11"/>
        <v>8.806108620902933</v>
      </c>
      <c r="E57" s="12">
        <f t="shared" si="11"/>
        <v>29.10633093180043</v>
      </c>
      <c r="F57" s="12">
        <f t="shared" si="11"/>
        <v>12.063140325822857</v>
      </c>
      <c r="G57" s="12">
        <f t="shared" si="11"/>
        <v>21.631297385166473</v>
      </c>
      <c r="H57" s="12">
        <f t="shared" si="11"/>
        <v>17.95247657339163</v>
      </c>
      <c r="I57" s="12">
        <f t="shared" si="11"/>
        <v>7.053248889715386</v>
      </c>
    </row>
    <row r="58" spans="1:9" ht="12.75">
      <c r="A58" s="13">
        <v>1903</v>
      </c>
      <c r="B58" s="12">
        <f t="shared" si="11"/>
        <v>0.26908582399177305</v>
      </c>
      <c r="C58" s="12">
        <f t="shared" si="11"/>
        <v>2.3469263240283738</v>
      </c>
      <c r="D58" s="12">
        <f t="shared" si="11"/>
        <v>6.875666588273532</v>
      </c>
      <c r="E58" s="12">
        <f t="shared" si="11"/>
        <v>27.830456741956638</v>
      </c>
      <c r="F58" s="12">
        <f t="shared" si="11"/>
        <v>13.709732510074836</v>
      </c>
      <c r="G58" s="12">
        <f t="shared" si="11"/>
        <v>22.98839516444729</v>
      </c>
      <c r="H58" s="12">
        <f t="shared" si="11"/>
        <v>17.53957548159867</v>
      </c>
      <c r="I58" s="12">
        <f t="shared" si="11"/>
        <v>8.440161365628885</v>
      </c>
    </row>
    <row r="59" spans="1:9" ht="12.75">
      <c r="A59" s="13">
        <v>1904</v>
      </c>
      <c r="B59" s="12">
        <f t="shared" si="11"/>
        <v>0.19143096618091704</v>
      </c>
      <c r="C59" s="12">
        <f t="shared" si="11"/>
        <v>1.7096272784820172</v>
      </c>
      <c r="D59" s="12">
        <f t="shared" si="11"/>
        <v>5.266121881097121</v>
      </c>
      <c r="E59" s="12">
        <f t="shared" si="11"/>
        <v>23.607553917728396</v>
      </c>
      <c r="F59" s="12">
        <f t="shared" si="11"/>
        <v>11.06003480840262</v>
      </c>
      <c r="G59" s="12">
        <f t="shared" si="11"/>
        <v>21.710208978092474</v>
      </c>
      <c r="H59" s="12">
        <f t="shared" si="11"/>
        <v>18.279544937420866</v>
      </c>
      <c r="I59" s="12">
        <f t="shared" si="11"/>
        <v>18.17547723259559</v>
      </c>
    </row>
    <row r="60" spans="1:9" ht="12.75">
      <c r="A60" s="13">
        <v>1905</v>
      </c>
      <c r="B60" s="12">
        <f t="shared" si="11"/>
        <v>0.19661259735039494</v>
      </c>
      <c r="C60" s="12">
        <f t="shared" si="11"/>
        <v>1.6990081783807653</v>
      </c>
      <c r="D60" s="12">
        <f t="shared" si="11"/>
        <v>4.663688916662707</v>
      </c>
      <c r="E60" s="12">
        <f t="shared" si="11"/>
        <v>21.73904521674993</v>
      </c>
      <c r="F60" s="12">
        <f t="shared" si="11"/>
        <v>10.552762431812567</v>
      </c>
      <c r="G60" s="12">
        <f t="shared" si="11"/>
        <v>19.95646688437678</v>
      </c>
      <c r="H60" s="12">
        <f t="shared" si="11"/>
        <v>16.231101619650293</v>
      </c>
      <c r="I60" s="12">
        <f t="shared" si="11"/>
        <v>24.961314155016563</v>
      </c>
    </row>
    <row r="61" spans="1:9" ht="12.75">
      <c r="A61" s="13">
        <v>1907</v>
      </c>
      <c r="B61" s="12">
        <f t="shared" si="11"/>
        <v>0.2817542429414033</v>
      </c>
      <c r="C61" s="12">
        <f t="shared" si="11"/>
        <v>2.4836198411665436</v>
      </c>
      <c r="D61" s="12">
        <f t="shared" si="11"/>
        <v>6.794924382651857</v>
      </c>
      <c r="E61" s="12">
        <f t="shared" si="11"/>
        <v>28.024970486396285</v>
      </c>
      <c r="F61" s="12">
        <f t="shared" si="11"/>
        <v>15.159885560432059</v>
      </c>
      <c r="G61" s="12">
        <f t="shared" si="11"/>
        <v>24.265910472349038</v>
      </c>
      <c r="H61" s="12">
        <f t="shared" si="11"/>
        <v>18.133141303363857</v>
      </c>
      <c r="I61" s="12">
        <f t="shared" si="11"/>
        <v>4.8557937106989595</v>
      </c>
    </row>
    <row r="62" spans="1:9" ht="12.75">
      <c r="A62" s="13">
        <v>1909</v>
      </c>
      <c r="B62" s="12">
        <f t="shared" si="11"/>
        <v>0.3710231921241416</v>
      </c>
      <c r="C62" s="12">
        <f t="shared" si="11"/>
        <v>2.2814455054173948</v>
      </c>
      <c r="D62" s="12">
        <f t="shared" si="11"/>
        <v>5.562419086172653</v>
      </c>
      <c r="E62" s="12">
        <f t="shared" si="11"/>
        <v>24.88599511471068</v>
      </c>
      <c r="F62" s="12">
        <f t="shared" si="11"/>
        <v>12.938703073157164</v>
      </c>
      <c r="G62" s="12">
        <f t="shared" si="11"/>
        <v>23.97121717922024</v>
      </c>
      <c r="H62" s="12">
        <f t="shared" si="11"/>
        <v>18.31839462358414</v>
      </c>
      <c r="I62" s="12">
        <f t="shared" si="11"/>
        <v>11.670802225613587</v>
      </c>
    </row>
    <row r="63" spans="1:9" ht="12.75">
      <c r="A63" s="13">
        <v>1910</v>
      </c>
      <c r="B63" s="12">
        <f t="shared" si="11"/>
        <v>0.40013198531876526</v>
      </c>
      <c r="C63" s="12">
        <f t="shared" si="11"/>
        <v>2.419089828223406</v>
      </c>
      <c r="D63" s="12">
        <f t="shared" si="11"/>
        <v>6.332774636130509</v>
      </c>
      <c r="E63" s="12">
        <f t="shared" si="11"/>
        <v>27.30618547439917</v>
      </c>
      <c r="F63" s="12">
        <f t="shared" si="11"/>
        <v>14.975768258564784</v>
      </c>
      <c r="G63" s="12">
        <f t="shared" si="11"/>
        <v>21.817615383445883</v>
      </c>
      <c r="H63" s="12">
        <f t="shared" si="11"/>
        <v>17.902518501457035</v>
      </c>
      <c r="I63" s="12">
        <f t="shared" si="11"/>
        <v>8.845915932460446</v>
      </c>
    </row>
    <row r="64" spans="1:9" ht="12.75">
      <c r="A64" s="13">
        <v>1911</v>
      </c>
      <c r="B64" s="12">
        <f t="shared" si="11"/>
        <v>0.2768476906584283</v>
      </c>
      <c r="C64" s="12">
        <f t="shared" si="11"/>
        <v>2.0407247912244344</v>
      </c>
      <c r="D64" s="12">
        <f t="shared" si="11"/>
        <v>5.476618484014267</v>
      </c>
      <c r="E64" s="12">
        <f t="shared" si="11"/>
        <v>26.3994661074192</v>
      </c>
      <c r="F64" s="12">
        <f t="shared" si="11"/>
        <v>15.505763665862418</v>
      </c>
      <c r="G64" s="12">
        <f t="shared" si="11"/>
        <v>16.727670638941007</v>
      </c>
      <c r="H64" s="12">
        <f t="shared" si="11"/>
        <v>14.528378463500697</v>
      </c>
      <c r="I64" s="12">
        <f t="shared" si="11"/>
        <v>19.044530158379548</v>
      </c>
    </row>
    <row r="65" spans="1:9" ht="12.75">
      <c r="A65" s="13">
        <v>1912</v>
      </c>
      <c r="B65" s="12">
        <f t="shared" si="11"/>
        <v>0.2836872686570757</v>
      </c>
      <c r="C65" s="12">
        <f t="shared" si="11"/>
        <v>2.0311433873091858</v>
      </c>
      <c r="D65" s="12">
        <f t="shared" si="11"/>
        <v>5.500295001236324</v>
      </c>
      <c r="E65" s="12">
        <f t="shared" si="11"/>
        <v>22.61005552760146</v>
      </c>
      <c r="F65" s="12">
        <f t="shared" si="11"/>
        <v>11.967161299355112</v>
      </c>
      <c r="G65" s="12">
        <f t="shared" si="11"/>
        <v>22.43377745717089</v>
      </c>
      <c r="H65" s="12">
        <f t="shared" si="11"/>
        <v>17.029117851174835</v>
      </c>
      <c r="I65" s="12">
        <f t="shared" si="11"/>
        <v>18.144762207495116</v>
      </c>
    </row>
    <row r="66" spans="1:9" ht="12.75">
      <c r="A66" s="13">
        <v>1913</v>
      </c>
      <c r="B66" s="12">
        <f t="shared" si="11"/>
        <v>0.4747782515792096</v>
      </c>
      <c r="C66" s="12">
        <f t="shared" si="11"/>
        <v>2.4716558149804513</v>
      </c>
      <c r="D66" s="12">
        <f t="shared" si="11"/>
        <v>6.408571755391009</v>
      </c>
      <c r="E66" s="12">
        <f t="shared" si="11"/>
        <v>25.30429403088776</v>
      </c>
      <c r="F66" s="12">
        <f t="shared" si="11"/>
        <v>11.884145097673922</v>
      </c>
      <c r="G66" s="12">
        <f t="shared" si="11"/>
        <v>22.05530548382269</v>
      </c>
      <c r="H66" s="12">
        <f t="shared" si="11"/>
        <v>20.5477123133317</v>
      </c>
      <c r="I66" s="12">
        <f t="shared" si="11"/>
        <v>10.85353725233326</v>
      </c>
    </row>
    <row r="67" spans="1:9" ht="12.75">
      <c r="A67" s="13" t="s">
        <v>74</v>
      </c>
      <c r="B67" s="12">
        <f t="shared" si="11"/>
        <v>0.28887035428320473</v>
      </c>
      <c r="C67" s="12">
        <f t="shared" si="11"/>
        <v>2.209054954368156</v>
      </c>
      <c r="D67" s="12">
        <f t="shared" si="11"/>
        <v>6.054641067902651</v>
      </c>
      <c r="E67" s="12">
        <f t="shared" si="11"/>
        <v>25.431503600558415</v>
      </c>
      <c r="F67" s="12">
        <f t="shared" si="11"/>
        <v>12.881453877782064</v>
      </c>
      <c r="G67" s="12">
        <f t="shared" si="11"/>
        <v>21.629386248834628</v>
      </c>
      <c r="H67" s="12">
        <f t="shared" si="11"/>
        <v>17.582071107942486</v>
      </c>
      <c r="I67" s="12">
        <f t="shared" si="11"/>
        <v>13.923018788328395</v>
      </c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  <row r="884" ht="12.75">
      <c r="A884" s="13"/>
    </row>
    <row r="885" ht="12.75">
      <c r="A885" s="13"/>
    </row>
    <row r="886" ht="12.75">
      <c r="A886" s="13"/>
    </row>
    <row r="887" ht="12.75">
      <c r="A887" s="13"/>
    </row>
    <row r="888" ht="12.75">
      <c r="A888" s="13"/>
    </row>
    <row r="889" ht="12.75">
      <c r="A889" s="13"/>
    </row>
    <row r="890" ht="12.75">
      <c r="A890" s="13"/>
    </row>
    <row r="891" ht="12.75">
      <c r="A891" s="13"/>
    </row>
    <row r="892" ht="12.75">
      <c r="A892" s="13"/>
    </row>
    <row r="893" ht="12.75">
      <c r="A893" s="13"/>
    </row>
    <row r="894" ht="12.75">
      <c r="A894" s="13"/>
    </row>
    <row r="895" ht="12.75">
      <c r="A895" s="13"/>
    </row>
    <row r="896" ht="12.75">
      <c r="A896" s="13"/>
    </row>
    <row r="897" ht="12.75">
      <c r="A897" s="13"/>
    </row>
    <row r="898" ht="12.75">
      <c r="A898" s="13"/>
    </row>
    <row r="899" ht="12.75">
      <c r="A899" s="13"/>
    </row>
    <row r="900" ht="12.75">
      <c r="A900" s="13"/>
    </row>
    <row r="901" ht="12.75">
      <c r="A901" s="13"/>
    </row>
    <row r="902" ht="12.75">
      <c r="A902" s="13"/>
    </row>
    <row r="903" ht="12.75">
      <c r="A903" s="13"/>
    </row>
    <row r="904" ht="12.75">
      <c r="A904" s="13"/>
    </row>
    <row r="905" ht="12.75">
      <c r="A905" s="13"/>
    </row>
    <row r="906" ht="12.75">
      <c r="A906" s="13"/>
    </row>
    <row r="907" ht="12.75">
      <c r="A907" s="13"/>
    </row>
    <row r="908" ht="12.75">
      <c r="A908" s="13"/>
    </row>
    <row r="909" ht="12.75">
      <c r="A909" s="13"/>
    </row>
    <row r="910" ht="12.75">
      <c r="A910" s="13"/>
    </row>
    <row r="911" ht="12.75">
      <c r="A911" s="13"/>
    </row>
    <row r="912" ht="12.75">
      <c r="A912" s="13"/>
    </row>
    <row r="913" ht="12.75">
      <c r="A913" s="13"/>
    </row>
    <row r="914" ht="12.75">
      <c r="A914" s="13"/>
    </row>
    <row r="915" ht="12.75">
      <c r="A915" s="13"/>
    </row>
    <row r="916" ht="12.75">
      <c r="A916" s="13"/>
    </row>
    <row r="917" ht="12.75">
      <c r="A917" s="13"/>
    </row>
    <row r="918" ht="12.75">
      <c r="A918" s="13"/>
    </row>
    <row r="919" ht="12.75">
      <c r="A919" s="13"/>
    </row>
    <row r="920" ht="12.75">
      <c r="A920" s="13"/>
    </row>
    <row r="921" ht="12.75">
      <c r="A921" s="13"/>
    </row>
    <row r="922" ht="12.75">
      <c r="A922" s="13"/>
    </row>
    <row r="923" ht="12.75">
      <c r="A923" s="13"/>
    </row>
    <row r="924" ht="12.75">
      <c r="A924" s="13"/>
    </row>
    <row r="925" ht="12.75">
      <c r="A925" s="13"/>
    </row>
    <row r="926" ht="12.75">
      <c r="A926" s="13"/>
    </row>
    <row r="927" ht="12.75">
      <c r="A927" s="13"/>
    </row>
    <row r="928" ht="12.75">
      <c r="A928" s="13"/>
    </row>
    <row r="929" ht="12.75">
      <c r="A929" s="13"/>
    </row>
    <row r="930" ht="12.75">
      <c r="A930" s="13"/>
    </row>
    <row r="931" ht="12.75">
      <c r="A931" s="13"/>
    </row>
    <row r="932" ht="12.75">
      <c r="A932" s="13"/>
    </row>
    <row r="933" ht="12.75">
      <c r="A933" s="13"/>
    </row>
    <row r="934" ht="12.75">
      <c r="A934" s="13"/>
    </row>
    <row r="935" ht="12.75">
      <c r="A935" s="13"/>
    </row>
    <row r="936" ht="12.75">
      <c r="A936" s="13"/>
    </row>
    <row r="937" ht="12.75">
      <c r="A937" s="13"/>
    </row>
    <row r="938" ht="12.75">
      <c r="A938" s="13"/>
    </row>
    <row r="939" ht="12.75">
      <c r="A939" s="13"/>
    </row>
    <row r="940" ht="12.75">
      <c r="A940" s="13"/>
    </row>
    <row r="941" ht="12.75">
      <c r="A941" s="13"/>
    </row>
    <row r="942" ht="12.75">
      <c r="A942" s="13"/>
    </row>
    <row r="943" ht="12.75">
      <c r="A943" s="13"/>
    </row>
    <row r="944" ht="12.75">
      <c r="A944" s="13"/>
    </row>
    <row r="945" ht="12.75">
      <c r="A945" s="13"/>
    </row>
    <row r="946" ht="12.75">
      <c r="A946" s="13"/>
    </row>
    <row r="947" ht="12.75">
      <c r="A947" s="13"/>
    </row>
    <row r="948" ht="12.75">
      <c r="A948" s="13"/>
    </row>
    <row r="949" ht="12.75">
      <c r="A949" s="13"/>
    </row>
    <row r="950" ht="12.75">
      <c r="A950" s="13"/>
    </row>
    <row r="951" ht="12.75">
      <c r="A951" s="13"/>
    </row>
    <row r="952" ht="12.75">
      <c r="A952" s="13"/>
    </row>
    <row r="953" ht="12.75">
      <c r="A953" s="13"/>
    </row>
    <row r="954" ht="12.75">
      <c r="A954" s="13"/>
    </row>
    <row r="955" ht="12.75">
      <c r="A955" s="13"/>
    </row>
    <row r="956" ht="12.75">
      <c r="A956" s="13"/>
    </row>
    <row r="957" ht="12.75">
      <c r="A957" s="13"/>
    </row>
    <row r="958" ht="12.75">
      <c r="A958" s="13"/>
    </row>
    <row r="959" ht="12.75">
      <c r="A959" s="13"/>
    </row>
    <row r="960" ht="12.75">
      <c r="A960" s="13"/>
    </row>
    <row r="961" ht="12.75">
      <c r="A961" s="13"/>
    </row>
    <row r="962" ht="12.75">
      <c r="A962" s="13"/>
    </row>
    <row r="963" ht="12.75">
      <c r="A963" s="13"/>
    </row>
    <row r="964" ht="12.75">
      <c r="A964" s="13"/>
    </row>
    <row r="965" ht="12.75">
      <c r="A965" s="13"/>
    </row>
    <row r="966" ht="12.75">
      <c r="A966" s="13"/>
    </row>
    <row r="967" ht="12.75">
      <c r="A967" s="13"/>
    </row>
    <row r="968" ht="12.75">
      <c r="A968" s="13"/>
    </row>
    <row r="969" ht="12.75">
      <c r="A969" s="13"/>
    </row>
    <row r="970" ht="12.75">
      <c r="A970" s="13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3"/>
    </row>
    <row r="978" ht="12.75">
      <c r="A978" s="13"/>
    </row>
    <row r="979" ht="12.75">
      <c r="A979" s="13"/>
    </row>
    <row r="980" ht="12.75">
      <c r="A980" s="13"/>
    </row>
    <row r="981" ht="12.75">
      <c r="A981" s="13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3"/>
    </row>
    <row r="999" ht="12.75">
      <c r="A999" s="13"/>
    </row>
    <row r="1000" ht="12.75">
      <c r="A1000" s="13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  <row r="1100" ht="12.75">
      <c r="A1100" s="13"/>
    </row>
    <row r="1101" ht="12.75">
      <c r="A1101" s="13"/>
    </row>
    <row r="1102" ht="12.75">
      <c r="A1102" s="13"/>
    </row>
    <row r="1103" ht="12.75">
      <c r="A1103" s="13"/>
    </row>
    <row r="1104" ht="12.75">
      <c r="A1104" s="13"/>
    </row>
    <row r="1105" ht="12.75">
      <c r="A1105" s="13"/>
    </row>
    <row r="1106" ht="12.75">
      <c r="A1106" s="13"/>
    </row>
    <row r="1107" ht="12.75">
      <c r="A1107" s="13"/>
    </row>
    <row r="1108" ht="12.75">
      <c r="A1108" s="13"/>
    </row>
    <row r="1109" ht="12.75">
      <c r="A1109" s="13"/>
    </row>
    <row r="1110" ht="12.75">
      <c r="A1110" s="13"/>
    </row>
    <row r="1111" ht="12.75">
      <c r="A1111" s="13"/>
    </row>
    <row r="1112" ht="12.75">
      <c r="A1112" s="13"/>
    </row>
    <row r="1113" ht="12.75">
      <c r="A1113" s="13"/>
    </row>
    <row r="1114" ht="12.75">
      <c r="A1114" s="13"/>
    </row>
    <row r="1115" ht="12.75">
      <c r="A1115" s="13"/>
    </row>
    <row r="1116" ht="12.75">
      <c r="A1116" s="13"/>
    </row>
    <row r="1117" ht="12.75">
      <c r="A1117" s="13"/>
    </row>
    <row r="1118" ht="12.75">
      <c r="A1118" s="13"/>
    </row>
    <row r="1119" ht="12.75">
      <c r="A1119" s="13"/>
    </row>
    <row r="1120" ht="12.75">
      <c r="A1120" s="13"/>
    </row>
    <row r="1121" ht="12.75">
      <c r="A1121" s="13"/>
    </row>
    <row r="1122" ht="12.75">
      <c r="A1122" s="13"/>
    </row>
    <row r="1123" ht="12.75">
      <c r="A1123" s="13"/>
    </row>
    <row r="1124" ht="12.75">
      <c r="A1124" s="13"/>
    </row>
    <row r="1125" ht="12.75">
      <c r="A1125" s="13"/>
    </row>
    <row r="1126" ht="12.75">
      <c r="A1126" s="13"/>
    </row>
    <row r="1127" ht="12.75">
      <c r="A1127" s="13"/>
    </row>
    <row r="1128" ht="12.75">
      <c r="A1128" s="13"/>
    </row>
    <row r="1129" ht="12.75">
      <c r="A1129" s="13"/>
    </row>
    <row r="1130" ht="12.75">
      <c r="A1130" s="13"/>
    </row>
    <row r="1131" ht="12.75">
      <c r="A1131" s="13"/>
    </row>
    <row r="1132" ht="12.75">
      <c r="A1132" s="13"/>
    </row>
    <row r="1133" ht="12.75">
      <c r="A1133" s="13"/>
    </row>
    <row r="1134" ht="12.75">
      <c r="A1134" s="13"/>
    </row>
    <row r="1135" ht="12.75">
      <c r="A1135" s="13"/>
    </row>
    <row r="1136" ht="12.75">
      <c r="A1136" s="13"/>
    </row>
    <row r="1137" ht="12.75">
      <c r="A1137" s="13"/>
    </row>
    <row r="1138" ht="12.75">
      <c r="A1138" s="13"/>
    </row>
    <row r="1139" ht="12.75">
      <c r="A1139" s="13"/>
    </row>
    <row r="1140" ht="12.75">
      <c r="A1140" s="13"/>
    </row>
    <row r="1141" ht="12.75">
      <c r="A1141" s="13"/>
    </row>
    <row r="1142" ht="12.75">
      <c r="A1142" s="13"/>
    </row>
    <row r="1143" ht="12.75">
      <c r="A1143" s="13"/>
    </row>
    <row r="1144" ht="12.75">
      <c r="A1144" s="13"/>
    </row>
    <row r="1145" ht="12.75">
      <c r="A1145" s="13"/>
    </row>
    <row r="1146" ht="12.75">
      <c r="A1146" s="13"/>
    </row>
    <row r="1147" ht="12.75">
      <c r="A1147" s="13"/>
    </row>
    <row r="1148" ht="12.75">
      <c r="A1148" s="13"/>
    </row>
    <row r="1149" ht="12.75">
      <c r="A1149" s="13"/>
    </row>
    <row r="1150" ht="12.75">
      <c r="A1150" s="13"/>
    </row>
    <row r="1151" ht="12.75">
      <c r="A1151" s="13"/>
    </row>
    <row r="1152" ht="12.75">
      <c r="A1152" s="13"/>
    </row>
    <row r="1153" ht="12.75">
      <c r="A1153" s="13"/>
    </row>
    <row r="1154" ht="12.75">
      <c r="A1154" s="13"/>
    </row>
    <row r="1155" ht="12.75">
      <c r="A1155" s="13"/>
    </row>
    <row r="1156" ht="12.75">
      <c r="A1156" s="13"/>
    </row>
    <row r="1157" ht="12.75">
      <c r="A1157" s="13"/>
    </row>
    <row r="1158" ht="12.75">
      <c r="A1158" s="13"/>
    </row>
    <row r="1159" ht="12.75">
      <c r="A1159" s="13"/>
    </row>
    <row r="1160" ht="12.75">
      <c r="A1160" s="13"/>
    </row>
    <row r="1161" ht="12.75">
      <c r="A1161" s="13"/>
    </row>
    <row r="1162" ht="12.75">
      <c r="A1162" s="13"/>
    </row>
    <row r="1163" ht="12.75">
      <c r="A1163" s="13"/>
    </row>
    <row r="1164" ht="12.75">
      <c r="A1164" s="13"/>
    </row>
    <row r="1165" ht="12.75">
      <c r="A1165" s="13"/>
    </row>
    <row r="1166" ht="12.75">
      <c r="A1166" s="13"/>
    </row>
    <row r="1167" ht="12.75">
      <c r="A1167" s="13"/>
    </row>
    <row r="1168" ht="12.75">
      <c r="A1168" s="13"/>
    </row>
    <row r="1169" ht="12.75">
      <c r="A1169" s="13"/>
    </row>
    <row r="1170" ht="12.75">
      <c r="A1170" s="13"/>
    </row>
    <row r="1171" ht="12.75">
      <c r="A1171" s="13"/>
    </row>
    <row r="1172" ht="12.75">
      <c r="A1172" s="13"/>
    </row>
    <row r="1173" ht="12.75">
      <c r="A1173" s="13"/>
    </row>
    <row r="1174" ht="12.75">
      <c r="A1174" s="13"/>
    </row>
    <row r="1175" ht="12.75">
      <c r="A1175" s="13"/>
    </row>
    <row r="1176" ht="12.75">
      <c r="A1176" s="13"/>
    </row>
    <row r="1177" ht="12.75">
      <c r="A1177" s="13"/>
    </row>
    <row r="1178" ht="12.75">
      <c r="A1178" s="13"/>
    </row>
    <row r="1179" ht="12.75">
      <c r="A1179" s="13"/>
    </row>
    <row r="1180" ht="12.75">
      <c r="A1180" s="13"/>
    </row>
    <row r="1181" ht="12.75">
      <c r="A1181" s="13"/>
    </row>
    <row r="1182" ht="12.75">
      <c r="A1182" s="13"/>
    </row>
    <row r="1183" ht="12.75">
      <c r="A1183" s="13"/>
    </row>
    <row r="1184" ht="12.75">
      <c r="A1184" s="13"/>
    </row>
    <row r="1185" ht="12.75">
      <c r="A1185" s="13"/>
    </row>
    <row r="1186" ht="12.75">
      <c r="A1186" s="13"/>
    </row>
    <row r="1187" ht="12.75">
      <c r="A1187" s="13"/>
    </row>
    <row r="1188" ht="12.75">
      <c r="A1188" s="13"/>
    </row>
    <row r="1189" ht="12.75">
      <c r="A1189" s="13"/>
    </row>
    <row r="1190" ht="12.75">
      <c r="A1190" s="13"/>
    </row>
    <row r="1191" ht="12.75">
      <c r="A1191" s="13"/>
    </row>
    <row r="1192" ht="12.75">
      <c r="A1192" s="13"/>
    </row>
    <row r="1193" ht="12.75">
      <c r="A1193" s="13"/>
    </row>
    <row r="1194" ht="12.75">
      <c r="A1194" s="13"/>
    </row>
    <row r="1195" ht="12.75">
      <c r="A1195" s="13"/>
    </row>
    <row r="1196" ht="12.75">
      <c r="A1196" s="13"/>
    </row>
    <row r="1197" ht="12.75">
      <c r="A1197" s="13"/>
    </row>
    <row r="1198" ht="12.75">
      <c r="A1198" s="13"/>
    </row>
    <row r="1199" ht="12.75">
      <c r="A1199" s="13"/>
    </row>
    <row r="1200" ht="12.75">
      <c r="A1200" s="13"/>
    </row>
    <row r="1201" ht="12.75">
      <c r="A1201" s="13"/>
    </row>
    <row r="1202" ht="12.75">
      <c r="A1202" s="13"/>
    </row>
    <row r="1203" ht="12.75">
      <c r="A1203" s="13"/>
    </row>
    <row r="1204" ht="12.75">
      <c r="A1204" s="13"/>
    </row>
    <row r="1205" ht="12.75">
      <c r="A1205" s="13"/>
    </row>
    <row r="1206" ht="12.75">
      <c r="A1206" s="13"/>
    </row>
    <row r="1207" ht="12.75">
      <c r="A1207" s="13"/>
    </row>
    <row r="1208" ht="12.75">
      <c r="A1208" s="13"/>
    </row>
    <row r="1209" ht="12.75">
      <c r="A1209" s="13"/>
    </row>
    <row r="1210" ht="12.75">
      <c r="A1210" s="13"/>
    </row>
    <row r="1211" ht="12.75">
      <c r="A1211" s="13"/>
    </row>
    <row r="1212" ht="12.75">
      <c r="A1212" s="13"/>
    </row>
    <row r="1213" ht="12.75">
      <c r="A1213" s="13"/>
    </row>
    <row r="1214" ht="12.75">
      <c r="A1214" s="13"/>
    </row>
    <row r="1215" ht="12.75">
      <c r="A1215" s="13"/>
    </row>
    <row r="1216" ht="12.75">
      <c r="A1216" s="13"/>
    </row>
    <row r="1217" ht="12.75">
      <c r="A1217" s="13"/>
    </row>
    <row r="1218" ht="12.75">
      <c r="A1218" s="13"/>
    </row>
    <row r="1219" ht="12.75">
      <c r="A1219" s="13"/>
    </row>
    <row r="1220" ht="12.75">
      <c r="A1220" s="13"/>
    </row>
    <row r="1221" ht="12.75">
      <c r="A1221" s="13"/>
    </row>
    <row r="1222" ht="12.75">
      <c r="A1222" s="13"/>
    </row>
    <row r="1223" ht="12.75">
      <c r="A1223" s="13"/>
    </row>
    <row r="1224" ht="12.75">
      <c r="A1224" s="13"/>
    </row>
    <row r="1225" ht="12.75">
      <c r="A1225" s="13"/>
    </row>
    <row r="1226" ht="12.75">
      <c r="A1226" s="13"/>
    </row>
    <row r="1227" ht="12.75">
      <c r="A1227" s="13"/>
    </row>
    <row r="1228" ht="12.75">
      <c r="A1228" s="13"/>
    </row>
    <row r="1229" ht="12.75">
      <c r="A1229" s="13"/>
    </row>
    <row r="1230" ht="12.75">
      <c r="A1230" s="13"/>
    </row>
    <row r="1231" ht="12.75">
      <c r="A1231" s="13"/>
    </row>
    <row r="1232" ht="12.75">
      <c r="A1232" s="13"/>
    </row>
    <row r="1233" ht="12.75">
      <c r="A1233" s="13"/>
    </row>
    <row r="1234" ht="12.75">
      <c r="A1234" s="13"/>
    </row>
    <row r="1235" ht="12.75">
      <c r="A1235" s="13"/>
    </row>
    <row r="1236" ht="12.75">
      <c r="A1236" s="13"/>
    </row>
    <row r="1237" ht="12.75">
      <c r="A1237" s="13"/>
    </row>
    <row r="1238" ht="12.75">
      <c r="A1238" s="13"/>
    </row>
    <row r="1239" ht="12.75">
      <c r="A1239" s="13"/>
    </row>
    <row r="1240" ht="12.75">
      <c r="A1240" s="13"/>
    </row>
    <row r="1241" ht="12.75">
      <c r="A1241" s="13"/>
    </row>
    <row r="1242" ht="12.75">
      <c r="A1242" s="13"/>
    </row>
    <row r="1243" ht="12.75">
      <c r="A1243" s="13"/>
    </row>
    <row r="1244" ht="12.75">
      <c r="A1244" s="13"/>
    </row>
    <row r="1245" ht="12.75">
      <c r="A1245" s="13"/>
    </row>
    <row r="1246" ht="12.75">
      <c r="A1246" s="13"/>
    </row>
    <row r="1247" ht="12.75">
      <c r="A1247" s="13"/>
    </row>
    <row r="1248" ht="12.75">
      <c r="A1248" s="13"/>
    </row>
    <row r="1249" ht="12.75">
      <c r="A1249" s="13"/>
    </row>
    <row r="1250" ht="12.75">
      <c r="A1250" s="13"/>
    </row>
    <row r="1251" ht="12.75">
      <c r="A1251" s="13"/>
    </row>
    <row r="1252" ht="12.75">
      <c r="A1252" s="13"/>
    </row>
    <row r="1253" ht="12.75">
      <c r="A1253" s="13"/>
    </row>
    <row r="1254" ht="12.75">
      <c r="A1254" s="13"/>
    </row>
    <row r="1255" ht="12.75">
      <c r="A1255" s="13"/>
    </row>
    <row r="1256" ht="12.75">
      <c r="A1256" s="13"/>
    </row>
    <row r="1257" ht="12.75">
      <c r="A1257" s="13"/>
    </row>
    <row r="1258" ht="12.75">
      <c r="A1258" s="13"/>
    </row>
    <row r="1259" ht="12.75">
      <c r="A1259" s="13"/>
    </row>
    <row r="1260" ht="12.75">
      <c r="A1260" s="13"/>
    </row>
    <row r="1261" ht="12.75">
      <c r="A1261" s="13"/>
    </row>
    <row r="1262" ht="12.75">
      <c r="A1262" s="13"/>
    </row>
    <row r="1263" ht="12.75">
      <c r="A1263" s="13"/>
    </row>
    <row r="1264" ht="12.75">
      <c r="A1264" s="13"/>
    </row>
    <row r="1265" ht="12.75">
      <c r="A1265" s="13"/>
    </row>
    <row r="1266" ht="12.75">
      <c r="A1266" s="13"/>
    </row>
    <row r="1267" ht="12.75">
      <c r="A1267" s="13"/>
    </row>
    <row r="1268" ht="12.75">
      <c r="A1268" s="13"/>
    </row>
    <row r="1269" ht="12.75">
      <c r="A1269" s="13"/>
    </row>
    <row r="1270" ht="12.75">
      <c r="A1270" s="13"/>
    </row>
    <row r="1271" ht="12.75">
      <c r="A1271" s="13"/>
    </row>
    <row r="1272" ht="12.75">
      <c r="A1272" s="13"/>
    </row>
    <row r="1273" ht="12.75">
      <c r="A1273" s="13"/>
    </row>
    <row r="1274" ht="12.75">
      <c r="A1274" s="13"/>
    </row>
    <row r="1275" ht="12.75">
      <c r="A1275" s="13"/>
    </row>
    <row r="1276" ht="12.75">
      <c r="A1276" s="13"/>
    </row>
    <row r="1277" ht="12.75">
      <c r="A1277" s="13"/>
    </row>
    <row r="1278" ht="12.75">
      <c r="A1278" s="13"/>
    </row>
    <row r="1279" ht="12.75">
      <c r="A1279" s="13"/>
    </row>
    <row r="1280" ht="12.75">
      <c r="A1280" s="13"/>
    </row>
    <row r="1281" ht="12.75">
      <c r="A1281" s="13"/>
    </row>
    <row r="1282" ht="12.75">
      <c r="A1282" s="13"/>
    </row>
    <row r="1283" ht="12.75">
      <c r="A1283" s="13"/>
    </row>
    <row r="1284" ht="12.75">
      <c r="A1284" s="13"/>
    </row>
    <row r="1285" ht="12.75">
      <c r="A1285" s="13"/>
    </row>
    <row r="1286" ht="12.75">
      <c r="A1286" s="13"/>
    </row>
    <row r="1287" ht="12.75">
      <c r="A1287" s="13"/>
    </row>
    <row r="1288" ht="12.75">
      <c r="A1288" s="13"/>
    </row>
    <row r="1289" ht="12.75">
      <c r="A1289" s="13"/>
    </row>
    <row r="1290" ht="12.75">
      <c r="A1290" s="13"/>
    </row>
    <row r="1291" ht="12.75">
      <c r="A1291" s="13"/>
    </row>
    <row r="1292" ht="12.75">
      <c r="A1292" s="13"/>
    </row>
    <row r="1293" ht="12.75">
      <c r="A1293" s="13"/>
    </row>
    <row r="1294" ht="12.75">
      <c r="A1294" s="13"/>
    </row>
    <row r="1295" ht="12.75">
      <c r="A1295" s="13"/>
    </row>
    <row r="1296" ht="12.75">
      <c r="A1296" s="13"/>
    </row>
    <row r="1297" ht="12.75">
      <c r="A1297" s="13"/>
    </row>
    <row r="1298" ht="12.75">
      <c r="A1298" s="13"/>
    </row>
    <row r="1299" ht="12.75">
      <c r="A1299" s="13"/>
    </row>
    <row r="1300" ht="12.75">
      <c r="A1300" s="13"/>
    </row>
    <row r="1301" ht="12.75">
      <c r="A1301" s="13"/>
    </row>
    <row r="1302" ht="12.75">
      <c r="A1302" s="13"/>
    </row>
    <row r="1303" ht="12.75">
      <c r="A1303" s="13"/>
    </row>
    <row r="1304" ht="12.75">
      <c r="A1304" s="13"/>
    </row>
    <row r="1305" ht="12.75">
      <c r="A1305" s="13"/>
    </row>
    <row r="1306" ht="12.75">
      <c r="A1306" s="13"/>
    </row>
    <row r="1307" ht="12.75">
      <c r="A1307" s="13"/>
    </row>
    <row r="1308" ht="12.75">
      <c r="A1308" s="13"/>
    </row>
    <row r="1309" ht="12.75">
      <c r="A1309" s="13"/>
    </row>
    <row r="1310" ht="12.75">
      <c r="A1310" s="13"/>
    </row>
    <row r="1311" ht="12.75">
      <c r="A1311" s="13"/>
    </row>
    <row r="1312" ht="12.75">
      <c r="A1312" s="13"/>
    </row>
    <row r="1313" ht="12.75">
      <c r="A1313" s="13"/>
    </row>
    <row r="1314" ht="12.75">
      <c r="A1314" s="13"/>
    </row>
    <row r="1315" ht="12.75">
      <c r="A1315" s="13"/>
    </row>
    <row r="1316" ht="12.75">
      <c r="A1316" s="13"/>
    </row>
    <row r="1317" ht="12.75">
      <c r="A1317" s="13"/>
    </row>
    <row r="1318" ht="12.75">
      <c r="A1318" s="13"/>
    </row>
    <row r="1319" ht="12.75">
      <c r="A1319" s="13"/>
    </row>
    <row r="1320" ht="12.75">
      <c r="A1320" s="13"/>
    </row>
    <row r="1321" ht="12.75">
      <c r="A1321" s="13"/>
    </row>
    <row r="1322" ht="12.75">
      <c r="A1322" s="13"/>
    </row>
    <row r="1323" ht="12.75">
      <c r="A1323" s="13"/>
    </row>
    <row r="1324" ht="12.75">
      <c r="A1324" s="13"/>
    </row>
    <row r="1325" ht="12.75">
      <c r="A1325" s="13"/>
    </row>
    <row r="1326" ht="12.75">
      <c r="A1326" s="13"/>
    </row>
    <row r="1327" ht="12.75">
      <c r="A1327" s="13"/>
    </row>
    <row r="1328" ht="12.75">
      <c r="A1328" s="13"/>
    </row>
    <row r="1329" ht="12.75">
      <c r="A1329" s="13"/>
    </row>
    <row r="1330" ht="12.75">
      <c r="A1330" s="13"/>
    </row>
    <row r="1331" ht="12.75">
      <c r="A1331" s="13"/>
    </row>
    <row r="1332" ht="12.75">
      <c r="A1332" s="13"/>
    </row>
    <row r="1333" ht="12.75">
      <c r="A1333" s="13"/>
    </row>
    <row r="1334" ht="12.75">
      <c r="A1334" s="13"/>
    </row>
    <row r="1335" ht="12.75">
      <c r="A1335" s="13"/>
    </row>
    <row r="1336" ht="12.75">
      <c r="A1336" s="13"/>
    </row>
    <row r="1337" ht="12.75">
      <c r="A1337" s="13"/>
    </row>
    <row r="1338" ht="12.75">
      <c r="A1338" s="13"/>
    </row>
    <row r="1339" ht="12.75">
      <c r="A1339" s="13"/>
    </row>
    <row r="1340" ht="12.75">
      <c r="A1340" s="13"/>
    </row>
    <row r="1341" ht="12.75">
      <c r="A1341" s="13"/>
    </row>
    <row r="1342" ht="12.75">
      <c r="A1342" s="13"/>
    </row>
    <row r="1343" ht="12.75">
      <c r="A1343" s="13"/>
    </row>
    <row r="1344" ht="12.75">
      <c r="A1344" s="13"/>
    </row>
    <row r="1345" ht="12.75">
      <c r="A1345" s="13"/>
    </row>
    <row r="1346" ht="12.75">
      <c r="A1346" s="13"/>
    </row>
    <row r="1347" ht="12.75">
      <c r="A1347" s="13"/>
    </row>
    <row r="1348" ht="12.75">
      <c r="A1348" s="13"/>
    </row>
    <row r="1349" ht="12.75">
      <c r="A1349" s="13"/>
    </row>
    <row r="1350" ht="12.75">
      <c r="A1350" s="13"/>
    </row>
    <row r="1351" ht="12.75">
      <c r="A1351" s="13"/>
    </row>
    <row r="1352" ht="12.75">
      <c r="A1352" s="13"/>
    </row>
    <row r="1353" ht="12.75">
      <c r="A1353" s="13"/>
    </row>
    <row r="1354" ht="12.75">
      <c r="A1354" s="13"/>
    </row>
    <row r="1355" ht="12.75">
      <c r="A1355" s="13"/>
    </row>
    <row r="1356" ht="12.75">
      <c r="A1356" s="13"/>
    </row>
    <row r="1357" ht="12.75">
      <c r="A1357" s="13"/>
    </row>
    <row r="1358" ht="12.75">
      <c r="A1358" s="13"/>
    </row>
    <row r="1359" ht="12.75">
      <c r="A1359" s="13"/>
    </row>
    <row r="1360" ht="12.75">
      <c r="A1360" s="13"/>
    </row>
    <row r="1361" ht="12.75">
      <c r="A1361" s="13"/>
    </row>
    <row r="1362" ht="12.75">
      <c r="A1362" s="13"/>
    </row>
    <row r="1363" ht="12.75">
      <c r="A1363" s="13"/>
    </row>
    <row r="1364" ht="12.75">
      <c r="A1364" s="13"/>
    </row>
    <row r="1365" ht="12.75">
      <c r="A1365" s="13"/>
    </row>
    <row r="1366" ht="12.75">
      <c r="A1366" s="13"/>
    </row>
    <row r="1367" ht="12.75">
      <c r="A1367" s="13"/>
    </row>
    <row r="1368" ht="12.75">
      <c r="A1368" s="13"/>
    </row>
    <row r="1369" ht="12.75">
      <c r="A1369" s="13"/>
    </row>
    <row r="1370" ht="12.75">
      <c r="A1370" s="13"/>
    </row>
    <row r="1371" ht="12.75">
      <c r="A1371" s="13"/>
    </row>
    <row r="1372" ht="12.75">
      <c r="A1372" s="13"/>
    </row>
    <row r="1373" ht="12.75">
      <c r="A1373" s="13"/>
    </row>
    <row r="1374" ht="12.75">
      <c r="A1374" s="13"/>
    </row>
    <row r="1375" ht="12.75">
      <c r="A1375" s="13"/>
    </row>
    <row r="1376" ht="12.75">
      <c r="A1376" s="13"/>
    </row>
    <row r="1377" ht="12.75">
      <c r="A1377" s="13"/>
    </row>
    <row r="1378" ht="12.75">
      <c r="A1378" s="13"/>
    </row>
    <row r="1379" ht="12.75">
      <c r="A1379" s="13"/>
    </row>
    <row r="1380" ht="12.75">
      <c r="A1380" s="13"/>
    </row>
    <row r="1381" ht="12.75">
      <c r="A1381" s="13"/>
    </row>
    <row r="1382" ht="12.75">
      <c r="A1382" s="13"/>
    </row>
    <row r="1383" ht="12.75">
      <c r="A1383" s="13"/>
    </row>
    <row r="1384" ht="12.75">
      <c r="A1384" s="13"/>
    </row>
    <row r="1385" ht="12.75">
      <c r="A1385" s="13"/>
    </row>
    <row r="1386" ht="12.75">
      <c r="A1386" s="13"/>
    </row>
    <row r="1387" ht="12.75">
      <c r="A1387" s="13"/>
    </row>
    <row r="1388" ht="12.75">
      <c r="A1388" s="13"/>
    </row>
    <row r="1389" ht="12.75">
      <c r="A1389" s="13"/>
    </row>
    <row r="1390" ht="12.75">
      <c r="A1390" s="13"/>
    </row>
    <row r="1391" ht="12.75">
      <c r="A1391" s="13"/>
    </row>
    <row r="1392" ht="12.75">
      <c r="A1392" s="13"/>
    </row>
    <row r="1393" ht="12.75">
      <c r="A1393" s="13"/>
    </row>
    <row r="1394" ht="12.75">
      <c r="A1394" s="13"/>
    </row>
    <row r="1395" ht="12.75">
      <c r="A1395" s="13"/>
    </row>
    <row r="1396" ht="12.75">
      <c r="A1396" s="13"/>
    </row>
    <row r="1397" ht="12.75">
      <c r="A1397" s="13"/>
    </row>
    <row r="1398" ht="12.75">
      <c r="A1398" s="13"/>
    </row>
    <row r="1399" ht="12.75">
      <c r="A1399" s="13"/>
    </row>
    <row r="1400" ht="12.75">
      <c r="A1400" s="13"/>
    </row>
    <row r="1401" ht="12.75">
      <c r="A1401" s="13"/>
    </row>
    <row r="1402" ht="12.75">
      <c r="A1402" s="13"/>
    </row>
    <row r="1403" ht="12.75">
      <c r="A1403" s="13"/>
    </row>
    <row r="1404" ht="12.75">
      <c r="A1404" s="13"/>
    </row>
    <row r="1405" ht="12.75">
      <c r="A1405" s="13"/>
    </row>
    <row r="1406" ht="12.75">
      <c r="A1406" s="13"/>
    </row>
    <row r="1407" ht="12.75">
      <c r="A1407" s="13"/>
    </row>
    <row r="1408" ht="12.75">
      <c r="A1408" s="13"/>
    </row>
    <row r="1409" ht="12.75">
      <c r="A1409" s="13"/>
    </row>
    <row r="1410" ht="12.75">
      <c r="A1410" s="13"/>
    </row>
    <row r="1411" ht="12.75">
      <c r="A1411" s="13"/>
    </row>
    <row r="1412" ht="12.75">
      <c r="A1412" s="13"/>
    </row>
    <row r="1413" ht="12.75">
      <c r="A1413" s="13"/>
    </row>
    <row r="1414" ht="12.75">
      <c r="A1414" s="13"/>
    </row>
    <row r="1415" ht="12.75">
      <c r="A1415" s="13"/>
    </row>
    <row r="1416" ht="12.75">
      <c r="A1416" s="13"/>
    </row>
    <row r="1417" ht="12.75">
      <c r="A1417" s="13"/>
    </row>
    <row r="1418" ht="12.75">
      <c r="A1418" s="13"/>
    </row>
    <row r="1419" ht="12.75">
      <c r="A1419" s="13"/>
    </row>
    <row r="1420" ht="12.75">
      <c r="A1420" s="13"/>
    </row>
    <row r="1421" ht="12.75">
      <c r="A1421" s="13"/>
    </row>
    <row r="1422" ht="12.75">
      <c r="A1422" s="13"/>
    </row>
    <row r="1423" ht="12.75">
      <c r="A1423" s="13"/>
    </row>
    <row r="1424" ht="12.75">
      <c r="A1424" s="13"/>
    </row>
    <row r="1425" ht="12.75">
      <c r="A1425" s="13"/>
    </row>
    <row r="1426" ht="12.75">
      <c r="A1426" s="13"/>
    </row>
    <row r="1427" ht="12.75">
      <c r="A1427" s="13"/>
    </row>
    <row r="1428" ht="12.75">
      <c r="A1428" s="13"/>
    </row>
    <row r="1429" ht="12.75">
      <c r="A1429" s="13"/>
    </row>
    <row r="1430" ht="12.75">
      <c r="A1430" s="13"/>
    </row>
    <row r="1431" ht="12.75">
      <c r="A1431" s="13"/>
    </row>
    <row r="1432" ht="12.75">
      <c r="A1432" s="13"/>
    </row>
    <row r="1433" ht="12.75">
      <c r="A1433" s="13"/>
    </row>
    <row r="1434" ht="12.75">
      <c r="A1434" s="13"/>
    </row>
    <row r="1435" ht="12.75">
      <c r="A1435" s="13"/>
    </row>
    <row r="1436" ht="12.75">
      <c r="A1436" s="13"/>
    </row>
    <row r="1437" ht="12.75">
      <c r="A1437" s="13"/>
    </row>
    <row r="1438" ht="12.75">
      <c r="A1438" s="13"/>
    </row>
    <row r="1439" ht="12.75">
      <c r="A1439" s="13"/>
    </row>
    <row r="1440" ht="12.75">
      <c r="A1440" s="13"/>
    </row>
    <row r="1441" ht="12.75">
      <c r="A1441" s="13"/>
    </row>
    <row r="1442" ht="12.75">
      <c r="A1442" s="13"/>
    </row>
    <row r="1443" ht="12.75">
      <c r="A1443" s="13"/>
    </row>
    <row r="1444" ht="12.75">
      <c r="A1444" s="13"/>
    </row>
    <row r="1445" ht="12.75">
      <c r="A1445" s="13"/>
    </row>
    <row r="1446" ht="12.75">
      <c r="A1446" s="13"/>
    </row>
    <row r="1447" ht="12.75">
      <c r="A1447" s="13"/>
    </row>
    <row r="1448" ht="12.75">
      <c r="A1448" s="13"/>
    </row>
    <row r="1449" ht="12.75">
      <c r="A1449" s="13"/>
    </row>
    <row r="1450" ht="12.75">
      <c r="A1450" s="13"/>
    </row>
    <row r="1451" ht="12.75">
      <c r="A1451" s="13"/>
    </row>
    <row r="1452" ht="12.75">
      <c r="A1452" s="13"/>
    </row>
    <row r="1453" ht="12.75">
      <c r="A1453" s="13"/>
    </row>
    <row r="1454" ht="12.75">
      <c r="A1454" s="13"/>
    </row>
    <row r="1455" ht="12.75">
      <c r="A1455" s="13"/>
    </row>
    <row r="1456" ht="12.75">
      <c r="A1456" s="13"/>
    </row>
    <row r="1457" ht="12.75">
      <c r="A1457" s="13"/>
    </row>
    <row r="1458" ht="12.75">
      <c r="A1458" s="13"/>
    </row>
    <row r="1459" ht="12.75">
      <c r="A1459" s="13"/>
    </row>
    <row r="1460" ht="12.75">
      <c r="A1460" s="13"/>
    </row>
    <row r="1461" ht="12.75">
      <c r="A1461" s="13"/>
    </row>
    <row r="1462" ht="12.75">
      <c r="A1462" s="13"/>
    </row>
    <row r="1463" ht="12.75">
      <c r="A1463" s="13"/>
    </row>
    <row r="1464" ht="12.75">
      <c r="A1464" s="13"/>
    </row>
    <row r="1465" ht="12.75">
      <c r="A1465" s="13"/>
    </row>
    <row r="1466" ht="12.75">
      <c r="A1466" s="13"/>
    </row>
    <row r="1467" ht="12.75">
      <c r="A1467" s="13"/>
    </row>
    <row r="1468" ht="12.75">
      <c r="A1468" s="13"/>
    </row>
    <row r="1469" ht="12.75">
      <c r="A1469" s="13"/>
    </row>
    <row r="1470" ht="12.75">
      <c r="A1470" s="13"/>
    </row>
    <row r="1471" ht="12.75">
      <c r="A1471" s="13"/>
    </row>
    <row r="1472" ht="12.75">
      <c r="A1472" s="13"/>
    </row>
    <row r="1473" ht="12.75">
      <c r="A1473" s="13"/>
    </row>
    <row r="1474" ht="12.75">
      <c r="A1474" s="13"/>
    </row>
    <row r="1475" ht="12.75">
      <c r="A1475" s="13"/>
    </row>
    <row r="1476" ht="12.75">
      <c r="A1476" s="13"/>
    </row>
    <row r="1477" ht="12.75">
      <c r="A1477" s="13"/>
    </row>
    <row r="1478" ht="12.75">
      <c r="A1478" s="13"/>
    </row>
    <row r="1479" ht="12.75">
      <c r="A1479" s="13"/>
    </row>
    <row r="1480" ht="12.75">
      <c r="A1480" s="13"/>
    </row>
    <row r="1481" ht="12.75">
      <c r="A1481" s="13"/>
    </row>
    <row r="1482" ht="12.75">
      <c r="A1482" s="13"/>
    </row>
    <row r="1483" ht="12.75">
      <c r="A1483" s="13"/>
    </row>
    <row r="1484" ht="12.75">
      <c r="A1484" s="13"/>
    </row>
    <row r="1485" ht="12.75">
      <c r="A1485" s="13"/>
    </row>
    <row r="1486" ht="12.75">
      <c r="A1486" s="13"/>
    </row>
    <row r="1487" ht="12.75">
      <c r="A1487" s="13"/>
    </row>
    <row r="1488" ht="12.75">
      <c r="A1488" s="13"/>
    </row>
    <row r="1489" ht="12.75">
      <c r="A1489" s="13"/>
    </row>
    <row r="1490" ht="12.75">
      <c r="A1490" s="13"/>
    </row>
    <row r="1491" ht="12.75">
      <c r="A1491" s="13"/>
    </row>
    <row r="1492" ht="12.75">
      <c r="A1492" s="13"/>
    </row>
    <row r="1493" ht="12.75">
      <c r="A1493" s="13"/>
    </row>
    <row r="1494" ht="12.75">
      <c r="A1494" s="13"/>
    </row>
    <row r="1495" ht="12.75">
      <c r="A1495" s="13"/>
    </row>
    <row r="1496" ht="12.75">
      <c r="A1496" s="13"/>
    </row>
    <row r="1497" ht="12.75">
      <c r="A1497" s="13"/>
    </row>
    <row r="1498" ht="12.75">
      <c r="A1498" s="13"/>
    </row>
    <row r="1499" ht="12.75">
      <c r="A1499" s="13"/>
    </row>
    <row r="1500" ht="12.75">
      <c r="A1500" s="13"/>
    </row>
    <row r="1501" ht="12.75">
      <c r="A1501" s="13"/>
    </row>
    <row r="1502" ht="12.75">
      <c r="A1502" s="13"/>
    </row>
    <row r="1503" ht="12.75">
      <c r="A1503" s="13"/>
    </row>
    <row r="1504" ht="12.75">
      <c r="A1504" s="13"/>
    </row>
    <row r="1505" ht="12.75">
      <c r="A1505" s="13"/>
    </row>
    <row r="1506" ht="12.75">
      <c r="A1506" s="13"/>
    </row>
    <row r="1507" ht="12.75">
      <c r="A1507" s="13"/>
    </row>
    <row r="1508" ht="12.75">
      <c r="A1508" s="13"/>
    </row>
    <row r="1509" ht="12.75">
      <c r="A1509" s="13"/>
    </row>
    <row r="1510" ht="12.75">
      <c r="A1510" s="13"/>
    </row>
    <row r="1511" ht="12.75">
      <c r="A1511" s="13"/>
    </row>
    <row r="1512" ht="12.75">
      <c r="A1512" s="13"/>
    </row>
    <row r="1513" ht="12.75">
      <c r="A1513" s="13"/>
    </row>
    <row r="1514" ht="12.75">
      <c r="A1514" s="13"/>
    </row>
    <row r="1515" ht="12.75">
      <c r="A1515" s="13"/>
    </row>
    <row r="1516" ht="12.75">
      <c r="A1516" s="13"/>
    </row>
    <row r="1517" ht="12.75">
      <c r="A1517" s="13"/>
    </row>
    <row r="1518" ht="12.75">
      <c r="A1518" s="13"/>
    </row>
    <row r="1519" ht="12.75">
      <c r="A1519" s="13"/>
    </row>
    <row r="1520" ht="12.75">
      <c r="A1520" s="13"/>
    </row>
    <row r="1521" ht="12.75">
      <c r="A1521" s="13"/>
    </row>
    <row r="1522" ht="12.75">
      <c r="A1522" s="13"/>
    </row>
    <row r="1523" ht="12.75">
      <c r="A1523" s="13"/>
    </row>
    <row r="1524" ht="12.75">
      <c r="A1524" s="13"/>
    </row>
    <row r="1525" ht="12.75">
      <c r="A1525" s="13"/>
    </row>
    <row r="1526" ht="12.75">
      <c r="A1526" s="13"/>
    </row>
    <row r="1527" ht="12.75">
      <c r="A1527" s="13"/>
    </row>
    <row r="1528" ht="12.75">
      <c r="A1528" s="13"/>
    </row>
    <row r="1529" ht="12.75">
      <c r="A1529" s="13"/>
    </row>
    <row r="1530" ht="12.75">
      <c r="A1530" s="13"/>
    </row>
    <row r="1531" ht="12.75">
      <c r="A1531" s="13"/>
    </row>
    <row r="1532" ht="12.75">
      <c r="A1532" s="13"/>
    </row>
    <row r="1533" ht="12.75">
      <c r="A1533" s="13"/>
    </row>
    <row r="1534" ht="12.75">
      <c r="A1534" s="13"/>
    </row>
    <row r="1535" ht="12.75">
      <c r="A1535" s="13"/>
    </row>
    <row r="1536" ht="12.75">
      <c r="A1536" s="13"/>
    </row>
    <row r="1537" ht="12.75">
      <c r="A1537" s="13"/>
    </row>
    <row r="1538" ht="12.75">
      <c r="A1538" s="13"/>
    </row>
    <row r="1539" ht="12.75">
      <c r="A1539" s="13"/>
    </row>
    <row r="1540" ht="12.75">
      <c r="A1540" s="13"/>
    </row>
    <row r="1541" ht="12.75">
      <c r="A1541" s="13"/>
    </row>
    <row r="1542" ht="12.75">
      <c r="A1542" s="13"/>
    </row>
    <row r="1543" ht="12.75">
      <c r="A1543" s="13"/>
    </row>
    <row r="1544" ht="12.75">
      <c r="A1544" s="13"/>
    </row>
    <row r="1545" ht="12.75">
      <c r="A1545" s="13"/>
    </row>
    <row r="1546" ht="12.75">
      <c r="A1546" s="13"/>
    </row>
    <row r="1547" ht="12.75">
      <c r="A1547" s="13"/>
    </row>
    <row r="1548" ht="12.75">
      <c r="A1548" s="13"/>
    </row>
    <row r="1549" ht="12.75">
      <c r="A1549" s="13"/>
    </row>
    <row r="1550" ht="12.75">
      <c r="A1550" s="13"/>
    </row>
    <row r="1551" ht="12.75">
      <c r="A1551" s="13"/>
    </row>
    <row r="1552" ht="12.75">
      <c r="A1552" s="13"/>
    </row>
    <row r="1553" ht="12.75">
      <c r="A1553" s="13"/>
    </row>
    <row r="1554" ht="12.75">
      <c r="A1554" s="13"/>
    </row>
    <row r="1555" ht="12.75">
      <c r="A1555" s="13"/>
    </row>
    <row r="1556" ht="12.75">
      <c r="A1556" s="13"/>
    </row>
    <row r="1557" ht="12.75">
      <c r="A1557" s="13"/>
    </row>
    <row r="1558" ht="12.75">
      <c r="A1558" s="13"/>
    </row>
    <row r="1559" ht="12.75">
      <c r="A1559" s="13"/>
    </row>
    <row r="1560" ht="12.75">
      <c r="A1560" s="13"/>
    </row>
    <row r="1561" ht="12.75">
      <c r="A1561" s="13"/>
    </row>
    <row r="1562" ht="12.75">
      <c r="A1562" s="13"/>
    </row>
    <row r="1563" ht="12.75">
      <c r="A1563" s="13"/>
    </row>
    <row r="1564" ht="12.75">
      <c r="A1564" s="13"/>
    </row>
    <row r="1565" ht="12.75">
      <c r="A1565" s="13"/>
    </row>
    <row r="1566" ht="12.75">
      <c r="A1566" s="13"/>
    </row>
    <row r="1567" ht="12.75">
      <c r="A1567" s="13"/>
    </row>
    <row r="1568" ht="12.75">
      <c r="A1568" s="13"/>
    </row>
    <row r="1569" ht="12.75">
      <c r="A1569" s="13"/>
    </row>
    <row r="1570" ht="12.75">
      <c r="A1570" s="13"/>
    </row>
    <row r="1571" ht="12.75">
      <c r="A1571" s="13"/>
    </row>
    <row r="1572" ht="12.75">
      <c r="A1572" s="13"/>
    </row>
    <row r="1573" ht="12.75">
      <c r="A1573" s="13"/>
    </row>
    <row r="1574" ht="12.75">
      <c r="A1574" s="13"/>
    </row>
    <row r="1575" ht="12.75">
      <c r="A1575" s="13"/>
    </row>
    <row r="1576" ht="12.75">
      <c r="A1576" s="13"/>
    </row>
    <row r="1577" ht="12.75">
      <c r="A1577" s="13"/>
    </row>
    <row r="1578" ht="12.75">
      <c r="A1578" s="13"/>
    </row>
    <row r="1579" ht="12.75">
      <c r="A1579" s="13"/>
    </row>
    <row r="1580" ht="12.75">
      <c r="A1580" s="13"/>
    </row>
    <row r="1581" ht="12.75">
      <c r="A1581" s="13"/>
    </row>
    <row r="1582" ht="12.75">
      <c r="A1582" s="13"/>
    </row>
    <row r="1583" ht="12.75">
      <c r="A1583" s="13"/>
    </row>
    <row r="1584" ht="12.75">
      <c r="A1584" s="13"/>
    </row>
    <row r="1585" ht="12.75">
      <c r="A1585" s="13"/>
    </row>
    <row r="1586" ht="12.75">
      <c r="A1586" s="13"/>
    </row>
    <row r="1587" ht="12.75">
      <c r="A1587" s="13"/>
    </row>
    <row r="1588" ht="12.75">
      <c r="A1588" s="13"/>
    </row>
    <row r="1589" ht="12.75">
      <c r="A1589" s="13"/>
    </row>
    <row r="1590" ht="12.75">
      <c r="A1590" s="13"/>
    </row>
    <row r="1591" ht="12.75">
      <c r="A1591" s="13"/>
    </row>
    <row r="1592" ht="12.75">
      <c r="A1592" s="13"/>
    </row>
    <row r="1593" ht="12.75">
      <c r="A1593" s="13"/>
    </row>
    <row r="1594" ht="12.75">
      <c r="A1594" s="13"/>
    </row>
    <row r="1595" ht="12.75">
      <c r="A1595" s="13"/>
    </row>
    <row r="1596" ht="12.75">
      <c r="A1596" s="13"/>
    </row>
    <row r="1597" ht="12.75">
      <c r="A1597" s="13"/>
    </row>
    <row r="1598" ht="12.75">
      <c r="A1598" s="13"/>
    </row>
    <row r="1599" ht="12.75">
      <c r="A1599" s="13"/>
    </row>
    <row r="1600" ht="12.75">
      <c r="A1600" s="13"/>
    </row>
    <row r="1601" ht="12.75">
      <c r="A1601" s="13"/>
    </row>
    <row r="1602" ht="12.75">
      <c r="A1602" s="13"/>
    </row>
    <row r="1603" ht="12.75">
      <c r="A1603" s="13"/>
    </row>
    <row r="1604" ht="12.75">
      <c r="A1604" s="13"/>
    </row>
    <row r="1605" ht="12.75">
      <c r="A1605" s="13"/>
    </row>
    <row r="1606" ht="12.75">
      <c r="A1606" s="13"/>
    </row>
    <row r="1607" ht="12.75">
      <c r="A1607" s="13"/>
    </row>
    <row r="1608" ht="12.75">
      <c r="A1608" s="13"/>
    </row>
    <row r="1609" ht="12.75">
      <c r="A1609" s="13"/>
    </row>
    <row r="1610" ht="12.75">
      <c r="A1610" s="13"/>
    </row>
    <row r="1611" ht="12.75">
      <c r="A1611" s="13"/>
    </row>
    <row r="1612" ht="12.75">
      <c r="A1612" s="13"/>
    </row>
    <row r="1613" ht="12.75">
      <c r="A1613" s="13"/>
    </row>
    <row r="1614" ht="12.75">
      <c r="A1614" s="13"/>
    </row>
    <row r="1615" ht="12.75">
      <c r="A1615" s="13"/>
    </row>
    <row r="1616" ht="12.75">
      <c r="A1616" s="13"/>
    </row>
    <row r="1617" ht="12.75">
      <c r="A1617" s="13"/>
    </row>
    <row r="1618" ht="12.75">
      <c r="A1618" s="13"/>
    </row>
    <row r="1619" ht="12.75">
      <c r="A1619" s="13"/>
    </row>
    <row r="1620" ht="12.75">
      <c r="A1620" s="13"/>
    </row>
    <row r="1621" ht="12.75">
      <c r="A1621" s="13"/>
    </row>
    <row r="1622" ht="12.75">
      <c r="A1622" s="13"/>
    </row>
    <row r="1623" ht="12.75">
      <c r="A1623" s="13"/>
    </row>
    <row r="1624" ht="12.75">
      <c r="A1624" s="13"/>
    </row>
    <row r="1625" ht="12.75">
      <c r="A1625" s="13"/>
    </row>
    <row r="1626" ht="12.75">
      <c r="A1626" s="13"/>
    </row>
    <row r="1627" ht="12.75">
      <c r="A1627" s="13"/>
    </row>
    <row r="1628" ht="12.75">
      <c r="A1628" s="13"/>
    </row>
    <row r="1629" ht="12.75">
      <c r="A1629" s="13"/>
    </row>
    <row r="1630" ht="12.75">
      <c r="A1630" s="13"/>
    </row>
    <row r="1631" ht="12.75">
      <c r="A1631" s="13"/>
    </row>
    <row r="1632" ht="12.75">
      <c r="A1632" s="13"/>
    </row>
    <row r="1633" ht="12.75">
      <c r="A1633" s="13"/>
    </row>
    <row r="1634" ht="12.75">
      <c r="A1634" s="13"/>
    </row>
    <row r="1635" ht="12.75">
      <c r="A1635" s="13"/>
    </row>
    <row r="1636" ht="12.75">
      <c r="A1636" s="13"/>
    </row>
    <row r="1637" ht="12.75">
      <c r="A1637" s="13"/>
    </row>
    <row r="1638" ht="12.75">
      <c r="A1638" s="13"/>
    </row>
    <row r="1639" ht="12.75">
      <c r="A1639" s="13"/>
    </row>
    <row r="1640" ht="12.75">
      <c r="A1640" s="13"/>
    </row>
    <row r="1641" ht="12.75">
      <c r="A1641" s="13"/>
    </row>
    <row r="1642" ht="12.75">
      <c r="A1642" s="13"/>
    </row>
    <row r="1643" ht="12.75">
      <c r="A1643" s="13"/>
    </row>
    <row r="1644" ht="12.75">
      <c r="A1644" s="13"/>
    </row>
    <row r="1645" ht="12.75">
      <c r="A1645" s="13"/>
    </row>
    <row r="1646" ht="12.75">
      <c r="A1646" s="13"/>
    </row>
    <row r="1647" ht="12.75">
      <c r="A1647" s="13"/>
    </row>
    <row r="1648" ht="12.75">
      <c r="A1648" s="13"/>
    </row>
    <row r="1649" ht="12.75">
      <c r="A1649" s="13"/>
    </row>
    <row r="1650" ht="12.75">
      <c r="A1650" s="13"/>
    </row>
    <row r="1651" ht="12.75">
      <c r="A1651" s="13"/>
    </row>
    <row r="1652" ht="12.75">
      <c r="A1652" s="13"/>
    </row>
    <row r="1653" ht="12.75">
      <c r="A1653" s="13"/>
    </row>
    <row r="1654" ht="12.75">
      <c r="A1654" s="13"/>
    </row>
    <row r="1655" ht="12.75">
      <c r="A1655" s="13"/>
    </row>
    <row r="1656" ht="12.75">
      <c r="A1656" s="13"/>
    </row>
    <row r="1657" ht="12.75">
      <c r="A1657" s="13"/>
    </row>
    <row r="1658" ht="12.75">
      <c r="A1658" s="13"/>
    </row>
    <row r="1659" ht="12.75">
      <c r="A1659" s="13"/>
    </row>
    <row r="1660" ht="12.75">
      <c r="A1660" s="13"/>
    </row>
    <row r="1661" ht="12.75">
      <c r="A1661" s="13"/>
    </row>
    <row r="1662" ht="12.75">
      <c r="A1662" s="13"/>
    </row>
    <row r="1663" ht="12.75">
      <c r="A1663" s="13"/>
    </row>
    <row r="1664" ht="12.75">
      <c r="A1664" s="13"/>
    </row>
    <row r="1665" ht="12.75">
      <c r="A1665" s="13"/>
    </row>
    <row r="1666" ht="12.75">
      <c r="A1666" s="13"/>
    </row>
    <row r="1667" ht="12.75">
      <c r="A1667" s="13"/>
    </row>
    <row r="1668" ht="12.75">
      <c r="A1668" s="13"/>
    </row>
    <row r="1669" ht="12.75">
      <c r="A1669" s="13"/>
    </row>
    <row r="1670" ht="12.75">
      <c r="A1670" s="13"/>
    </row>
    <row r="1671" ht="12.75">
      <c r="A1671" s="13"/>
    </row>
    <row r="1672" ht="12.75">
      <c r="A1672" s="13"/>
    </row>
    <row r="1673" ht="12.75">
      <c r="A1673" s="13"/>
    </row>
    <row r="1674" ht="12.75">
      <c r="A1674" s="13"/>
    </row>
    <row r="1675" ht="12.75">
      <c r="A1675" s="13"/>
    </row>
    <row r="1676" ht="12.75">
      <c r="A1676" s="13"/>
    </row>
    <row r="1677" ht="12.75">
      <c r="A1677" s="13"/>
    </row>
    <row r="1678" ht="12.75">
      <c r="A1678" s="13"/>
    </row>
    <row r="1679" ht="12.75">
      <c r="A1679" s="13"/>
    </row>
    <row r="1680" ht="12.75">
      <c r="A1680" s="13"/>
    </row>
    <row r="1681" ht="12.75">
      <c r="A1681" s="13"/>
    </row>
    <row r="1682" ht="12.75">
      <c r="A1682" s="13"/>
    </row>
    <row r="1683" ht="12.75">
      <c r="A1683" s="13"/>
    </row>
    <row r="1684" ht="12.75">
      <c r="A1684" s="13"/>
    </row>
    <row r="1685" ht="12.75">
      <c r="A1685" s="13"/>
    </row>
    <row r="1686" ht="12.75">
      <c r="A1686" s="13"/>
    </row>
    <row r="1687" ht="12.75">
      <c r="A1687" s="13"/>
    </row>
    <row r="1688" ht="12.75">
      <c r="A1688" s="13"/>
    </row>
    <row r="1689" ht="12.75">
      <c r="A1689" s="13"/>
    </row>
    <row r="1690" ht="12.75">
      <c r="A1690" s="13"/>
    </row>
    <row r="1691" ht="12.75">
      <c r="A1691" s="13"/>
    </row>
    <row r="1692" ht="12.75">
      <c r="A1692" s="13"/>
    </row>
    <row r="1693" ht="12.75">
      <c r="A1693" s="13"/>
    </row>
    <row r="1694" ht="12.75">
      <c r="A1694" s="13"/>
    </row>
    <row r="1695" ht="12.75">
      <c r="A1695" s="13"/>
    </row>
    <row r="1696" ht="12.75">
      <c r="A1696" s="13"/>
    </row>
    <row r="1697" ht="12.75">
      <c r="A1697" s="13"/>
    </row>
    <row r="1698" ht="12.75">
      <c r="A1698" s="13"/>
    </row>
    <row r="1699" ht="12.75">
      <c r="A1699" s="13"/>
    </row>
    <row r="1700" ht="12.75">
      <c r="A1700" s="13"/>
    </row>
    <row r="1701" ht="12.75">
      <c r="A1701" s="13"/>
    </row>
    <row r="1702" ht="12.75">
      <c r="A1702" s="13"/>
    </row>
    <row r="1703" ht="12.75">
      <c r="A1703" s="13"/>
    </row>
    <row r="1704" ht="12.75">
      <c r="A1704" s="13"/>
    </row>
    <row r="1705" ht="12.75">
      <c r="A1705" s="13"/>
    </row>
    <row r="1706" ht="12.75">
      <c r="A1706" s="13"/>
    </row>
    <row r="1707" ht="12.75">
      <c r="A1707" s="13"/>
    </row>
    <row r="1708" ht="12.75">
      <c r="A1708" s="13"/>
    </row>
    <row r="1709" ht="12.75">
      <c r="A1709" s="13"/>
    </row>
    <row r="1710" ht="12.75">
      <c r="A1710" s="13"/>
    </row>
    <row r="1711" ht="12.75">
      <c r="A1711" s="13"/>
    </row>
    <row r="1712" ht="12.75">
      <c r="A1712" s="13"/>
    </row>
    <row r="1713" ht="12.75">
      <c r="A1713" s="13"/>
    </row>
    <row r="1714" ht="12.75">
      <c r="A1714" s="13"/>
    </row>
    <row r="1715" ht="12.75">
      <c r="A1715" s="13"/>
    </row>
    <row r="1716" ht="12.75">
      <c r="A1716" s="13"/>
    </row>
    <row r="1717" ht="12.75">
      <c r="A1717" s="13"/>
    </row>
    <row r="1718" ht="12.75">
      <c r="A1718" s="13"/>
    </row>
    <row r="1719" ht="12.75">
      <c r="A1719" s="13"/>
    </row>
    <row r="1720" ht="12.75">
      <c r="A1720" s="13"/>
    </row>
    <row r="1721" ht="12.75">
      <c r="A1721" s="13"/>
    </row>
    <row r="1722" ht="12.75">
      <c r="A1722" s="13"/>
    </row>
    <row r="1723" ht="12.75">
      <c r="A1723" s="13"/>
    </row>
    <row r="1724" ht="12.75">
      <c r="A1724" s="13"/>
    </row>
    <row r="1725" ht="12.75">
      <c r="A1725" s="13"/>
    </row>
    <row r="1726" ht="12.75">
      <c r="A1726" s="13"/>
    </row>
    <row r="1727" ht="12.75">
      <c r="A1727" s="13"/>
    </row>
    <row r="1728" ht="12.75">
      <c r="A1728" s="13"/>
    </row>
    <row r="1729" ht="12.75">
      <c r="A1729" s="13"/>
    </row>
    <row r="1730" ht="12.75">
      <c r="A1730" s="13"/>
    </row>
    <row r="1731" ht="12.75">
      <c r="A1731" s="13"/>
    </row>
    <row r="1732" ht="12.75">
      <c r="A1732" s="13"/>
    </row>
    <row r="1733" ht="12.75">
      <c r="A1733" s="13"/>
    </row>
    <row r="1734" ht="12.75">
      <c r="A1734" s="13"/>
    </row>
    <row r="1735" ht="12.75">
      <c r="A1735" s="13"/>
    </row>
    <row r="1736" ht="12.75">
      <c r="A1736" s="13"/>
    </row>
    <row r="1737" ht="12.75">
      <c r="A1737" s="13"/>
    </row>
    <row r="1738" ht="12.75">
      <c r="A1738" s="13"/>
    </row>
    <row r="1739" ht="12.75">
      <c r="A1739" s="13"/>
    </row>
    <row r="1740" ht="12.75">
      <c r="A1740" s="13"/>
    </row>
    <row r="1741" ht="12.75">
      <c r="A1741" s="13"/>
    </row>
    <row r="1742" ht="12.75">
      <c r="A1742" s="13"/>
    </row>
    <row r="1743" ht="12.75">
      <c r="A1743" s="13"/>
    </row>
    <row r="1744" ht="12.75">
      <c r="A1744" s="13"/>
    </row>
    <row r="1745" ht="12.75">
      <c r="A1745" s="13"/>
    </row>
    <row r="1746" ht="12.75">
      <c r="A1746" s="13"/>
    </row>
    <row r="1747" ht="12.75">
      <c r="A1747" s="13"/>
    </row>
    <row r="1748" ht="12.75">
      <c r="A1748" s="13"/>
    </row>
    <row r="1749" ht="12.75">
      <c r="A1749" s="13"/>
    </row>
    <row r="1750" ht="12.75">
      <c r="A1750" s="13"/>
    </row>
    <row r="1751" ht="12.75">
      <c r="A1751" s="13"/>
    </row>
    <row r="1752" ht="12.75">
      <c r="A1752" s="13"/>
    </row>
    <row r="1753" ht="12.75">
      <c r="A1753" s="13"/>
    </row>
    <row r="1754" ht="12.75">
      <c r="A1754" s="13"/>
    </row>
    <row r="1755" ht="12.75">
      <c r="A1755" s="13"/>
    </row>
    <row r="1756" ht="12.75">
      <c r="A1756" s="13"/>
    </row>
    <row r="1757" ht="12.75">
      <c r="A1757" s="13"/>
    </row>
    <row r="1758" ht="12.75">
      <c r="A1758" s="13"/>
    </row>
    <row r="1759" ht="12.75">
      <c r="A1759" s="13"/>
    </row>
    <row r="1760" ht="12.75">
      <c r="A1760" s="13"/>
    </row>
    <row r="1761" ht="12.75">
      <c r="A1761" s="13"/>
    </row>
    <row r="1762" ht="12.75">
      <c r="A1762" s="13"/>
    </row>
    <row r="1763" ht="12.75">
      <c r="A1763" s="13"/>
    </row>
    <row r="1764" ht="12.75">
      <c r="A1764" s="13"/>
    </row>
    <row r="1765" ht="12.75">
      <c r="A1765" s="13"/>
    </row>
    <row r="1766" ht="12.75">
      <c r="A1766" s="13"/>
    </row>
    <row r="1767" ht="12.75">
      <c r="A1767" s="13"/>
    </row>
    <row r="1768" ht="12.75">
      <c r="A1768" s="13"/>
    </row>
    <row r="1769" ht="12.75">
      <c r="A1769" s="13"/>
    </row>
    <row r="1770" ht="12.75">
      <c r="A1770" s="13"/>
    </row>
    <row r="1771" ht="12.75">
      <c r="A1771" s="13"/>
    </row>
    <row r="1772" ht="12.75">
      <c r="A1772" s="13"/>
    </row>
    <row r="1773" ht="12.75">
      <c r="A1773" s="13"/>
    </row>
    <row r="1774" ht="12.75">
      <c r="A1774" s="13"/>
    </row>
    <row r="1775" ht="12.75">
      <c r="A1775" s="13"/>
    </row>
    <row r="1776" ht="12.75">
      <c r="A1776" s="13"/>
    </row>
    <row r="1777" ht="12.75">
      <c r="A1777" s="13"/>
    </row>
    <row r="1778" ht="12.75">
      <c r="A1778" s="13"/>
    </row>
    <row r="1779" ht="12.75">
      <c r="A1779" s="13"/>
    </row>
    <row r="1780" ht="12.75">
      <c r="A1780" s="13"/>
    </row>
    <row r="1781" ht="12.75">
      <c r="A1781" s="13"/>
    </row>
    <row r="1782" ht="12.75">
      <c r="A1782" s="13"/>
    </row>
    <row r="1783" ht="12.75">
      <c r="A1783" s="13"/>
    </row>
    <row r="1784" ht="12.75">
      <c r="A1784" s="13"/>
    </row>
    <row r="1785" ht="12.75">
      <c r="A1785" s="13"/>
    </row>
    <row r="1786" ht="12.75">
      <c r="A1786" s="13"/>
    </row>
    <row r="1787" ht="12.75">
      <c r="A1787" s="13"/>
    </row>
    <row r="1788" ht="12.75">
      <c r="A1788" s="13"/>
    </row>
    <row r="1789" ht="12.75">
      <c r="A1789" s="13"/>
    </row>
    <row r="1790" ht="12.75">
      <c r="A1790" s="13"/>
    </row>
    <row r="1791" ht="12.75">
      <c r="A1791" s="13"/>
    </row>
    <row r="1792" ht="12.75">
      <c r="A1792" s="13"/>
    </row>
    <row r="1793" ht="12.75">
      <c r="A1793" s="13"/>
    </row>
    <row r="1794" ht="12.75">
      <c r="A1794" s="13"/>
    </row>
    <row r="1795" ht="12.75">
      <c r="A1795" s="13"/>
    </row>
    <row r="1796" ht="12.75">
      <c r="A1796" s="13"/>
    </row>
    <row r="1797" ht="12.75">
      <c r="A1797" s="13"/>
    </row>
    <row r="1798" ht="12.75">
      <c r="A1798" s="13"/>
    </row>
    <row r="1799" ht="12.75">
      <c r="A1799" s="13"/>
    </row>
    <row r="1800" ht="12.75">
      <c r="A1800" s="13"/>
    </row>
    <row r="1801" ht="12.75">
      <c r="A1801" s="13"/>
    </row>
    <row r="1802" ht="12.75">
      <c r="A1802" s="13"/>
    </row>
    <row r="1803" ht="12.75">
      <c r="A1803" s="13"/>
    </row>
    <row r="1804" ht="12.75">
      <c r="A1804" s="13"/>
    </row>
    <row r="1805" ht="12.75">
      <c r="A1805" s="13"/>
    </row>
    <row r="1806" ht="12.75">
      <c r="A1806" s="13"/>
    </row>
    <row r="1807" ht="12.75">
      <c r="A1807" s="13"/>
    </row>
    <row r="1808" ht="12.75">
      <c r="A1808" s="13"/>
    </row>
    <row r="1809" ht="12.75">
      <c r="A1809" s="13"/>
    </row>
    <row r="1810" ht="12.75">
      <c r="A1810" s="13"/>
    </row>
    <row r="1811" ht="12.75">
      <c r="A1811" s="13"/>
    </row>
    <row r="1812" ht="12.75">
      <c r="A1812" s="13"/>
    </row>
    <row r="1813" ht="12.75">
      <c r="A1813" s="13"/>
    </row>
    <row r="1814" ht="12.75">
      <c r="A1814" s="13"/>
    </row>
    <row r="1815" ht="12.75">
      <c r="A1815" s="13"/>
    </row>
    <row r="1816" ht="12.75">
      <c r="A1816" s="13"/>
    </row>
    <row r="1817" ht="12.75">
      <c r="A1817" s="13"/>
    </row>
    <row r="1818" ht="12.75">
      <c r="A1818" s="13"/>
    </row>
    <row r="1819" ht="12.75">
      <c r="A1819" s="13"/>
    </row>
    <row r="1820" ht="12.75">
      <c r="A1820" s="13"/>
    </row>
    <row r="1821" ht="12.75">
      <c r="A1821" s="13"/>
    </row>
    <row r="1822" ht="12.75">
      <c r="A1822" s="13"/>
    </row>
    <row r="1823" ht="12.75">
      <c r="A1823" s="13"/>
    </row>
    <row r="1824" ht="12.75">
      <c r="A1824" s="13"/>
    </row>
    <row r="1825" ht="12.75">
      <c r="A1825" s="13"/>
    </row>
    <row r="1826" ht="12.75">
      <c r="A1826" s="13"/>
    </row>
    <row r="1827" ht="12.75">
      <c r="A1827" s="13"/>
    </row>
    <row r="1828" ht="12.75">
      <c r="A1828" s="13"/>
    </row>
    <row r="1829" ht="12.75">
      <c r="A1829" s="13"/>
    </row>
    <row r="1830" ht="12.75">
      <c r="A1830" s="13"/>
    </row>
    <row r="1831" ht="12.75">
      <c r="A1831" s="13"/>
    </row>
    <row r="1832" ht="12.75">
      <c r="A1832" s="13"/>
    </row>
    <row r="1833" ht="12.75">
      <c r="A1833" s="13"/>
    </row>
    <row r="1834" ht="12.75">
      <c r="A1834" s="13"/>
    </row>
    <row r="1835" ht="12.75">
      <c r="A1835" s="13"/>
    </row>
    <row r="1836" ht="12.75">
      <c r="A1836" s="13"/>
    </row>
    <row r="1837" ht="12.75">
      <c r="A1837" s="13"/>
    </row>
    <row r="1838" ht="12.75">
      <c r="A1838" s="13"/>
    </row>
    <row r="1839" ht="12.75">
      <c r="A1839" s="13"/>
    </row>
    <row r="1840" ht="12.75">
      <c r="A1840" s="13"/>
    </row>
    <row r="1841" ht="12.75">
      <c r="A1841" s="13"/>
    </row>
    <row r="1842" ht="12.75">
      <c r="A1842" s="13"/>
    </row>
    <row r="1843" ht="12.75">
      <c r="A1843" s="13"/>
    </row>
    <row r="1844" ht="12.75">
      <c r="A1844" s="13"/>
    </row>
    <row r="1845" ht="12.75">
      <c r="A1845" s="13"/>
    </row>
    <row r="1846" ht="12.75">
      <c r="A1846" s="13"/>
    </row>
    <row r="1847" ht="12.75">
      <c r="A1847" s="13"/>
    </row>
    <row r="1848" ht="12.75">
      <c r="A1848" s="13"/>
    </row>
    <row r="1849" ht="12.75">
      <c r="A1849" s="13"/>
    </row>
    <row r="1850" ht="12.75">
      <c r="A1850" s="13"/>
    </row>
    <row r="1851" ht="12.75">
      <c r="A1851" s="13"/>
    </row>
    <row r="1852" ht="12.75">
      <c r="A1852" s="13"/>
    </row>
    <row r="1853" ht="12.75">
      <c r="A1853" s="13"/>
    </row>
    <row r="1854" ht="12.75">
      <c r="A1854" s="13"/>
    </row>
    <row r="1855" ht="12.75">
      <c r="A1855" s="13"/>
    </row>
    <row r="1856" ht="12.75">
      <c r="A1856" s="13"/>
    </row>
    <row r="1857" ht="12.75">
      <c r="A1857" s="13"/>
    </row>
    <row r="1858" ht="12.75">
      <c r="A1858" s="13"/>
    </row>
    <row r="1859" ht="12.75">
      <c r="A1859" s="13"/>
    </row>
    <row r="1860" ht="12.75">
      <c r="A1860" s="13"/>
    </row>
    <row r="1861" ht="12.75">
      <c r="A1861" s="13"/>
    </row>
    <row r="1862" ht="12.75">
      <c r="A1862" s="13"/>
    </row>
    <row r="1863" ht="12.75">
      <c r="A1863" s="13"/>
    </row>
    <row r="1864" ht="12.75">
      <c r="A1864" s="13"/>
    </row>
    <row r="1865" ht="12.75">
      <c r="A1865" s="13"/>
    </row>
    <row r="1866" ht="12.75">
      <c r="A1866" s="13"/>
    </row>
    <row r="1867" ht="12.75">
      <c r="A1867" s="13"/>
    </row>
    <row r="1868" ht="12.75">
      <c r="A1868" s="13"/>
    </row>
    <row r="1869" ht="12.75">
      <c r="A1869" s="13"/>
    </row>
    <row r="1870" ht="12.75">
      <c r="A1870" s="13"/>
    </row>
    <row r="1871" ht="12.75">
      <c r="A1871" s="13"/>
    </row>
    <row r="1872" ht="12.75">
      <c r="A1872" s="13"/>
    </row>
    <row r="1873" ht="12.75">
      <c r="A1873" s="13"/>
    </row>
    <row r="1874" ht="12.75">
      <c r="A1874" s="13"/>
    </row>
    <row r="1875" ht="12.75">
      <c r="A1875" s="13"/>
    </row>
    <row r="1876" ht="12.75">
      <c r="A1876" s="13"/>
    </row>
    <row r="1877" ht="12.75">
      <c r="A1877" s="13"/>
    </row>
    <row r="1878" ht="12.75">
      <c r="A1878" s="13"/>
    </row>
    <row r="1879" ht="12.75">
      <c r="A1879" s="13"/>
    </row>
    <row r="1880" ht="12.75">
      <c r="A1880" s="13"/>
    </row>
    <row r="1881" ht="12.75">
      <c r="A1881" s="13"/>
    </row>
    <row r="1882" ht="12.75">
      <c r="A1882" s="13"/>
    </row>
    <row r="1883" ht="12.75">
      <c r="A1883" s="13"/>
    </row>
    <row r="1884" ht="12.75">
      <c r="A1884" s="13"/>
    </row>
    <row r="1885" ht="12.75">
      <c r="A1885" s="13"/>
    </row>
    <row r="1886" ht="12.75">
      <c r="A1886" s="13"/>
    </row>
    <row r="1887" ht="12.75">
      <c r="A1887" s="13"/>
    </row>
    <row r="1888" ht="12.75">
      <c r="A1888" s="13"/>
    </row>
    <row r="1889" ht="12.75">
      <c r="A1889" s="13"/>
    </row>
  </sheetData>
  <printOptions/>
  <pageMargins left="0.75" right="0.75" top="1" bottom="1" header="0.4921259845" footer="0.4921259845"/>
  <pageSetup fitToHeight="1" fitToWidth="1"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81"/>
  <sheetViews>
    <sheetView workbookViewId="0" topLeftCell="A1">
      <selection activeCell="I10" sqref="I10"/>
    </sheetView>
  </sheetViews>
  <sheetFormatPr defaultColWidth="11.421875" defaultRowHeight="12.75"/>
  <cols>
    <col min="1" max="2" width="6.7109375" style="0" customWidth="1"/>
    <col min="3" max="3" width="11.7109375" style="0" customWidth="1"/>
    <col min="4" max="9" width="6.7109375" style="0" customWidth="1"/>
    <col min="10" max="71" width="9.7109375" style="0" customWidth="1"/>
    <col min="72" max="122" width="6.7109375" style="0" customWidth="1"/>
    <col min="123" max="191" width="9.7109375" style="0" customWidth="1"/>
  </cols>
  <sheetData>
    <row r="1" spans="1:2" ht="12.75">
      <c r="A1" t="s">
        <v>39</v>
      </c>
      <c r="B1" s="1" t="s">
        <v>48</v>
      </c>
    </row>
    <row r="2" ht="12.75">
      <c r="B2" t="s">
        <v>115</v>
      </c>
    </row>
    <row r="3" ht="12.75">
      <c r="B3" s="1"/>
    </row>
    <row r="5" spans="1:4" ht="12.75">
      <c r="A5" s="1">
        <v>1902</v>
      </c>
      <c r="B5" t="s">
        <v>1</v>
      </c>
      <c r="C5" t="s">
        <v>2</v>
      </c>
      <c r="D5">
        <v>52483</v>
      </c>
    </row>
    <row r="6" spans="1:23" ht="12.75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49</v>
      </c>
      <c r="J6" t="s">
        <v>11</v>
      </c>
      <c r="K6" t="s">
        <v>12</v>
      </c>
      <c r="L6" t="s">
        <v>13</v>
      </c>
      <c r="M6" t="s">
        <v>14</v>
      </c>
      <c r="N6" t="s">
        <v>15</v>
      </c>
      <c r="O6" t="s">
        <v>16</v>
      </c>
      <c r="P6" t="s">
        <v>17</v>
      </c>
      <c r="Q6" t="s">
        <v>49</v>
      </c>
      <c r="R6" t="s">
        <v>11</v>
      </c>
      <c r="S6" t="s">
        <v>12</v>
      </c>
      <c r="T6" t="s">
        <v>13</v>
      </c>
      <c r="U6" t="s">
        <v>14</v>
      </c>
      <c r="V6" t="s">
        <v>15</v>
      </c>
      <c r="W6" t="s">
        <v>16</v>
      </c>
    </row>
    <row r="7" spans="1:23" ht="12.75">
      <c r="A7">
        <v>1</v>
      </c>
      <c r="B7">
        <v>5517</v>
      </c>
      <c r="C7">
        <v>6961</v>
      </c>
      <c r="D7" s="2">
        <f>100*SUM(B7:B$15)/$D$5</f>
        <v>28.632128498751978</v>
      </c>
      <c r="E7" s="2">
        <f>1000*SUM(C7:C$15)/(A7*SUM(B7:B$15))</f>
        <v>87510.34804019432</v>
      </c>
      <c r="F7" s="3">
        <f>E7/(E7-1)</f>
        <v>1.0000114273505905</v>
      </c>
      <c r="G7" s="4">
        <f>(A7)*(D7/100)^(1/F7)</f>
        <v>0.2863253769335137</v>
      </c>
      <c r="I7" s="5">
        <f>$E7*$G7/(0.2^(1/$F7))</f>
        <v>125279.86284756123</v>
      </c>
      <c r="J7" s="5">
        <f>$E7*$G7/(0.1^(1/$F7))</f>
        <v>250557.74108320507</v>
      </c>
      <c r="K7" s="5">
        <f>$E7*$G7/(0.05^(1/$F7))</f>
        <v>501111.51297401456</v>
      </c>
      <c r="L7" s="5">
        <f>$E7*$G7/(0.01^(1/$F7))</f>
        <v>2505511.484579624</v>
      </c>
      <c r="M7" s="5">
        <f>$E7*$G7/(0.005^(1/$F7))</f>
        <v>5010983.278279658</v>
      </c>
      <c r="N7" s="5">
        <f>$E7*$G7/(0.001^(1/$F7))</f>
        <v>25054455.600618374</v>
      </c>
      <c r="O7" s="5">
        <f>$E7*$G7/(0.0001^(1/$F7))</f>
        <v>250537963.7278641</v>
      </c>
      <c r="Q7" s="5">
        <f>$G7/(0.2^(1/$F7))</f>
        <v>1.4316005552854048</v>
      </c>
      <c r="R7" s="5">
        <f>$G7/(0.1^(1/$F7))</f>
        <v>2.8631784319738</v>
      </c>
      <c r="S7" s="5">
        <f>$G7/(0.05^(1/$F7))</f>
        <v>5.726311507112843</v>
      </c>
      <c r="T7" s="5">
        <f>$G7/(0.01^(1/$F7))</f>
        <v>28.63103096594724</v>
      </c>
      <c r="U7" s="5">
        <f>$G7/(0.005^(1/$F7))</f>
        <v>57.26160837548111</v>
      </c>
      <c r="V7" s="5">
        <f>$G7/(0.001^(1/$F7))</f>
        <v>286.3027763197859</v>
      </c>
      <c r="W7" s="5">
        <f>$G7/(0.0001^(1/$F7))</f>
        <v>2862.952431783149</v>
      </c>
    </row>
    <row r="8" spans="1:23" ht="12.75">
      <c r="A8">
        <v>2000</v>
      </c>
      <c r="B8">
        <v>3271</v>
      </c>
      <c r="C8">
        <v>26840</v>
      </c>
      <c r="D8" s="2">
        <f>100*SUM(B8:B$15)/$D$5</f>
        <v>18.120153192462322</v>
      </c>
      <c r="E8" s="2">
        <f>1000*SUM(C8:C$15)/(A8*SUM(B8:B$15))</f>
        <v>68.77271293375394</v>
      </c>
      <c r="F8" s="3">
        <f aca="true" t="shared" si="0" ref="F8:F15">E8/(E8-1)</f>
        <v>1.014755200975612</v>
      </c>
      <c r="G8" s="4">
        <f aca="true" t="shared" si="1" ref="G8:G14">(A8)*(D8/100)^(1/F8)</f>
        <v>371.51698182083004</v>
      </c>
      <c r="I8" s="5">
        <f aca="true" t="shared" si="2" ref="I8:I15">$E8*$G8/(0.2^(1/$F8))</f>
        <v>124796.19733542741</v>
      </c>
      <c r="J8" s="5">
        <f aca="true" t="shared" si="3" ref="J8:J15">$E8*$G8/(0.1^(1/$F8))</f>
        <v>247089.4346983584</v>
      </c>
      <c r="K8" s="5">
        <f aca="true" t="shared" si="4" ref="K8:K15">$E8*$G8/(0.05^(1/$F8))</f>
        <v>489223.14976838196</v>
      </c>
      <c r="L8" s="5">
        <f aca="true" t="shared" si="5" ref="L8:L15">$E8*$G8/(0.01^(1/$F8))</f>
        <v>2389535.7094412595</v>
      </c>
      <c r="M8" s="5">
        <f aca="true" t="shared" si="6" ref="M8:M15">$E8*$G8/(0.005^(1/$F8))</f>
        <v>4731145.982360552</v>
      </c>
      <c r="N8" s="5">
        <f aca="true" t="shared" si="7" ref="N8:N15">$E8*$G8/(0.001^(1/$F8))</f>
        <v>23108559.512734525</v>
      </c>
      <c r="O8" s="5">
        <f aca="true" t="shared" si="8" ref="O8:O15">$E8*$G8/(0.0001^(1/$F8))</f>
        <v>223476686.55617547</v>
      </c>
      <c r="Q8" s="5">
        <f aca="true" t="shared" si="9" ref="Q8:Q15">$G8/(0.2^(1/$F8))</f>
        <v>1814.6179205644933</v>
      </c>
      <c r="R8" s="5">
        <f aca="true" t="shared" si="10" ref="R8:R15">$G8/(0.1^(1/$F8))</f>
        <v>3592.8411743240376</v>
      </c>
      <c r="S8" s="5">
        <f aca="true" t="shared" si="11" ref="S8:S15">$G8/(0.05^(1/$F8))</f>
        <v>7113.622960310312</v>
      </c>
      <c r="T8" s="5">
        <f aca="true" t="shared" si="12" ref="T8:T15">$G8/(0.01^(1/$F8))</f>
        <v>34745.40420912297</v>
      </c>
      <c r="U8" s="5">
        <f aca="true" t="shared" si="13" ref="U8:U15">$G8/(0.005^(1/$F8))</f>
        <v>68793.94138366883</v>
      </c>
      <c r="V8" s="5">
        <f aca="true" t="shared" si="14" ref="V8:V15">$G8/(0.001^(1/$F8))</f>
        <v>336013.493243957</v>
      </c>
      <c r="W8" s="5">
        <f aca="true" t="shared" si="15" ref="W8:W15">$G8/(0.0001^(1/$F8))</f>
        <v>3249496.4503064146</v>
      </c>
    </row>
    <row r="9" spans="1:23" ht="12.75">
      <c r="A9">
        <v>10000</v>
      </c>
      <c r="B9">
        <v>3101</v>
      </c>
      <c r="C9">
        <v>98817</v>
      </c>
      <c r="D9" s="2">
        <f>100*SUM(B9:B$15)/$D$5</f>
        <v>11.887658860964503</v>
      </c>
      <c r="E9" s="2">
        <f>1000*SUM(C9:C$15)/(A9*SUM(B9:B$15))</f>
        <v>20.535614681840038</v>
      </c>
      <c r="F9" s="3">
        <f t="shared" si="0"/>
        <v>1.0511885608047737</v>
      </c>
      <c r="G9" s="4">
        <f t="shared" si="1"/>
        <v>1318.6676114625773</v>
      </c>
      <c r="I9" s="5">
        <f t="shared" si="2"/>
        <v>125191.85810348608</v>
      </c>
      <c r="J9" s="5">
        <f t="shared" si="3"/>
        <v>242073.448974322</v>
      </c>
      <c r="K9" s="5">
        <f t="shared" si="4"/>
        <v>468078.0011259529</v>
      </c>
      <c r="L9" s="5">
        <f t="shared" si="5"/>
        <v>2163970.1687300378</v>
      </c>
      <c r="M9" s="5">
        <f t="shared" si="6"/>
        <v>4184295.4498607228</v>
      </c>
      <c r="N9" s="5">
        <f t="shared" si="7"/>
        <v>19344405.22492095</v>
      </c>
      <c r="O9" s="5">
        <f t="shared" si="8"/>
        <v>172925680.2673753</v>
      </c>
      <c r="Q9" s="5">
        <f t="shared" si="9"/>
        <v>6096.328746087897</v>
      </c>
      <c r="R9" s="5">
        <f t="shared" si="10"/>
        <v>11787.98164675301</v>
      </c>
      <c r="S9" s="5">
        <f t="shared" si="11"/>
        <v>22793.474087721443</v>
      </c>
      <c r="T9" s="5">
        <f t="shared" si="12"/>
        <v>105376.44975602654</v>
      </c>
      <c r="U9" s="5">
        <f t="shared" si="13"/>
        <v>203757.9841016865</v>
      </c>
      <c r="V9" s="5">
        <f t="shared" si="14"/>
        <v>941992.9972696414</v>
      </c>
      <c r="W9" s="5">
        <f t="shared" si="15"/>
        <v>8420769.621290963</v>
      </c>
    </row>
    <row r="10" spans="1:23" ht="12.75">
      <c r="A10">
        <v>50000</v>
      </c>
      <c r="B10">
        <v>1184</v>
      </c>
      <c r="C10">
        <v>85368</v>
      </c>
      <c r="D10" s="2">
        <f>100*SUM(B10:B$15)/$D$5</f>
        <v>5.979078939847189</v>
      </c>
      <c r="E10" s="2">
        <f>1000*SUM(C10:C$15)/(A10*SUM(B10:B$15))</f>
        <v>7.536010197578075</v>
      </c>
      <c r="F10" s="3">
        <f t="shared" si="0"/>
        <v>1.1529985372988787</v>
      </c>
      <c r="G10" s="4">
        <f t="shared" si="1"/>
        <v>4344.5048511786335</v>
      </c>
      <c r="I10" s="5">
        <f t="shared" si="2"/>
        <v>132221.20081837496</v>
      </c>
      <c r="J10" s="5">
        <f t="shared" si="3"/>
        <v>241204.5816257322</v>
      </c>
      <c r="K10" s="5">
        <f t="shared" si="4"/>
        <v>440017.5602486225</v>
      </c>
      <c r="L10" s="5">
        <f t="shared" si="5"/>
        <v>1777007.8313930214</v>
      </c>
      <c r="M10" s="5">
        <f t="shared" si="6"/>
        <v>3241707.289480591</v>
      </c>
      <c r="N10" s="5">
        <f t="shared" si="7"/>
        <v>13091612.155742124</v>
      </c>
      <c r="O10" s="5">
        <f t="shared" si="8"/>
        <v>96448820.20695408</v>
      </c>
      <c r="Q10" s="5">
        <f t="shared" si="9"/>
        <v>17545.252375171713</v>
      </c>
      <c r="R10" s="5">
        <f t="shared" si="10"/>
        <v>32006.9340807488</v>
      </c>
      <c r="S10" s="5">
        <f t="shared" si="11"/>
        <v>58388.66306073145</v>
      </c>
      <c r="T10" s="5">
        <f t="shared" si="12"/>
        <v>235802.2063139082</v>
      </c>
      <c r="U10" s="5">
        <f t="shared" si="13"/>
        <v>430162.2747966041</v>
      </c>
      <c r="V10" s="5">
        <f t="shared" si="14"/>
        <v>1737207.3302063087</v>
      </c>
      <c r="W10" s="5">
        <f t="shared" si="15"/>
        <v>12798393.006149437</v>
      </c>
    </row>
    <row r="11" spans="1:23" ht="12.75">
      <c r="A11">
        <v>100000</v>
      </c>
      <c r="B11">
        <v>990</v>
      </c>
      <c r="C11">
        <v>172903</v>
      </c>
      <c r="D11" s="2">
        <f>100*SUM(B11:B$15)/$D$5</f>
        <v>3.7231103404912065</v>
      </c>
      <c r="E11" s="2">
        <f>1000*SUM(C11:C$15)/(A11*SUM(B11:B$15))</f>
        <v>5.614288638689867</v>
      </c>
      <c r="F11" s="3">
        <f t="shared" si="0"/>
        <v>1.2167181289040319</v>
      </c>
      <c r="G11" s="4">
        <f t="shared" si="1"/>
        <v>6690.395573297689</v>
      </c>
      <c r="I11" s="5">
        <f t="shared" si="2"/>
        <v>140999.68036175618</v>
      </c>
      <c r="J11" s="5">
        <f t="shared" si="3"/>
        <v>249246.79207200868</v>
      </c>
      <c r="K11" s="5">
        <f t="shared" si="4"/>
        <v>440596.4836147049</v>
      </c>
      <c r="L11" s="5">
        <f t="shared" si="5"/>
        <v>1653912.8516262013</v>
      </c>
      <c r="M11" s="5">
        <f t="shared" si="6"/>
        <v>2923641.1854044897</v>
      </c>
      <c r="N11" s="5">
        <f t="shared" si="7"/>
        <v>10974776.03637136</v>
      </c>
      <c r="O11" s="5">
        <f t="shared" si="8"/>
        <v>72824701.08995359</v>
      </c>
      <c r="Q11" s="5">
        <f t="shared" si="9"/>
        <v>25114.433802010477</v>
      </c>
      <c r="R11" s="5">
        <f t="shared" si="10"/>
        <v>44395.07978880333</v>
      </c>
      <c r="S11" s="5">
        <f t="shared" si="11"/>
        <v>78477.70429514667</v>
      </c>
      <c r="T11" s="5">
        <f t="shared" si="12"/>
        <v>294589.9219054319</v>
      </c>
      <c r="U11" s="5">
        <f t="shared" si="13"/>
        <v>520750.0671156696</v>
      </c>
      <c r="V11" s="5">
        <f t="shared" si="14"/>
        <v>1954793.6956323641</v>
      </c>
      <c r="W11" s="5">
        <f t="shared" si="15"/>
        <v>12971314.048247391</v>
      </c>
    </row>
    <row r="12" spans="1:23" ht="12.75">
      <c r="A12">
        <v>250000</v>
      </c>
      <c r="B12">
        <v>458</v>
      </c>
      <c r="C12">
        <v>161511</v>
      </c>
      <c r="D12" s="2">
        <f>100*SUM(B12:B$15)/$D$5</f>
        <v>1.8367852447459176</v>
      </c>
      <c r="E12" s="2">
        <f>1000*SUM(C12:C$15)/(A12*SUM(B12:B$15))</f>
        <v>3.8345601659751036</v>
      </c>
      <c r="F12" s="3">
        <f t="shared" si="0"/>
        <v>1.352788419171196</v>
      </c>
      <c r="G12" s="4">
        <f t="shared" si="1"/>
        <v>13022.904001044464</v>
      </c>
      <c r="I12" s="5">
        <f t="shared" si="2"/>
        <v>164101.19242123282</v>
      </c>
      <c r="J12" s="5">
        <f t="shared" si="3"/>
        <v>273928.5465790735</v>
      </c>
      <c r="K12" s="5">
        <f t="shared" si="4"/>
        <v>457259.6184329415</v>
      </c>
      <c r="L12" s="5">
        <f t="shared" si="5"/>
        <v>1502627.0090951626</v>
      </c>
      <c r="M12" s="5">
        <f t="shared" si="6"/>
        <v>2508284.2274255175</v>
      </c>
      <c r="N12" s="5">
        <f t="shared" si="7"/>
        <v>8242616.39270408</v>
      </c>
      <c r="O12" s="5">
        <f t="shared" si="8"/>
        <v>45214630.50114207</v>
      </c>
      <c r="Q12" s="5">
        <f t="shared" si="9"/>
        <v>42795.31036632019</v>
      </c>
      <c r="R12" s="5">
        <f t="shared" si="10"/>
        <v>71436.7579910994</v>
      </c>
      <c r="S12" s="5">
        <f t="shared" si="11"/>
        <v>119246.9536637622</v>
      </c>
      <c r="T12" s="5">
        <f t="shared" si="12"/>
        <v>391864.2410225566</v>
      </c>
      <c r="U12" s="5">
        <f t="shared" si="13"/>
        <v>654125.6673143574</v>
      </c>
      <c r="V12" s="5">
        <f t="shared" si="14"/>
        <v>2149559.8024103595</v>
      </c>
      <c r="W12" s="5">
        <f t="shared" si="15"/>
        <v>11791347.258635145</v>
      </c>
    </row>
    <row r="13" spans="1:23" ht="12.75">
      <c r="A13">
        <v>500000</v>
      </c>
      <c r="B13">
        <v>283</v>
      </c>
      <c r="C13">
        <v>186795</v>
      </c>
      <c r="D13" s="2">
        <f>100*SUM(B13:B$15)/$D$5</f>
        <v>0.9641217156031476</v>
      </c>
      <c r="E13" s="2">
        <f>1000*SUM(C13:C$15)/(A13*SUM(B13:B$15))</f>
        <v>3.014300395256917</v>
      </c>
      <c r="F13" s="3">
        <f t="shared" si="0"/>
        <v>1.4964502823683623</v>
      </c>
      <c r="G13" s="4">
        <f t="shared" si="1"/>
        <v>22483.816452191728</v>
      </c>
      <c r="I13" s="5">
        <f t="shared" si="2"/>
        <v>198674.4008794421</v>
      </c>
      <c r="J13" s="5">
        <f t="shared" si="3"/>
        <v>315721.83844098</v>
      </c>
      <c r="K13" s="5">
        <f t="shared" si="4"/>
        <v>501726.83962962835</v>
      </c>
      <c r="L13" s="5">
        <f t="shared" si="5"/>
        <v>1470796.827106625</v>
      </c>
      <c r="M13" s="5">
        <f t="shared" si="6"/>
        <v>2337305.038654903</v>
      </c>
      <c r="N13" s="5">
        <f t="shared" si="7"/>
        <v>6851737.964370514</v>
      </c>
      <c r="O13" s="5">
        <f t="shared" si="8"/>
        <v>31918965.46632458</v>
      </c>
      <c r="Q13" s="5">
        <f t="shared" si="9"/>
        <v>65910.61766506803</v>
      </c>
      <c r="R13" s="5">
        <f t="shared" si="10"/>
        <v>104741.33199789141</v>
      </c>
      <c r="S13" s="5">
        <f t="shared" si="11"/>
        <v>166448.85175316603</v>
      </c>
      <c r="T13" s="5">
        <f t="shared" si="12"/>
        <v>487939.69885050727</v>
      </c>
      <c r="U13" s="5">
        <f t="shared" si="13"/>
        <v>775405.4779453021</v>
      </c>
      <c r="V13" s="5">
        <f t="shared" si="14"/>
        <v>2273077.353256467</v>
      </c>
      <c r="W13" s="5">
        <f t="shared" si="15"/>
        <v>10589178.675274014</v>
      </c>
    </row>
    <row r="14" spans="1:23" ht="12.75">
      <c r="A14">
        <v>1000000</v>
      </c>
      <c r="B14">
        <v>207</v>
      </c>
      <c r="C14">
        <v>414574</v>
      </c>
      <c r="D14" s="2">
        <f>100*SUM(B14:B$15)/$D$5</f>
        <v>0.4248994912638378</v>
      </c>
      <c r="E14" s="2">
        <f>1000*SUM(C14:C$15)/(A14*SUM(B14:B$15))</f>
        <v>2.5821659192825113</v>
      </c>
      <c r="F14" s="3">
        <f t="shared" si="0"/>
        <v>1.6320449630551297</v>
      </c>
      <c r="G14" s="4">
        <f t="shared" si="1"/>
        <v>35219.56918809375</v>
      </c>
      <c r="I14" s="5">
        <f t="shared" si="2"/>
        <v>243807.36932037323</v>
      </c>
      <c r="J14" s="5">
        <f t="shared" si="3"/>
        <v>372817.5953201259</v>
      </c>
      <c r="K14" s="5">
        <f t="shared" si="4"/>
        <v>570093.347743064</v>
      </c>
      <c r="L14" s="5">
        <f t="shared" si="5"/>
        <v>1528356.322013209</v>
      </c>
      <c r="M14" s="5">
        <f t="shared" si="6"/>
        <v>2337083.289785788</v>
      </c>
      <c r="N14" s="5">
        <f t="shared" si="7"/>
        <v>6265458.166028909</v>
      </c>
      <c r="O14" s="5">
        <f t="shared" si="8"/>
        <v>25685087.610033825</v>
      </c>
      <c r="Q14" s="5">
        <f t="shared" si="9"/>
        <v>94419.71466656114</v>
      </c>
      <c r="R14" s="5">
        <f t="shared" si="10"/>
        <v>144381.7349365831</v>
      </c>
      <c r="S14" s="5">
        <f t="shared" si="11"/>
        <v>220781.0673535154</v>
      </c>
      <c r="T14" s="5">
        <f t="shared" si="12"/>
        <v>591889.2781444049</v>
      </c>
      <c r="U14" s="5">
        <f t="shared" si="13"/>
        <v>905086.4130509389</v>
      </c>
      <c r="V14" s="5">
        <f t="shared" si="14"/>
        <v>2426435.1563318013</v>
      </c>
      <c r="W14" s="5">
        <f t="shared" si="15"/>
        <v>9947109.67960214</v>
      </c>
    </row>
    <row r="15" spans="1:23" ht="12.75">
      <c r="A15">
        <v>5000000</v>
      </c>
      <c r="B15">
        <v>16</v>
      </c>
      <c r="C15">
        <v>161249</v>
      </c>
      <c r="D15" s="2">
        <f>100*SUM(B15:B$15)/$D$5</f>
        <v>0.030486062153459215</v>
      </c>
      <c r="E15" s="2">
        <f>1000*SUM(C15:C$15)/(A15*SUM(B15:B$15))</f>
        <v>2.0156125</v>
      </c>
      <c r="F15" s="3">
        <f t="shared" si="0"/>
        <v>1.9846275031077305</v>
      </c>
      <c r="G15" s="4">
        <f>(A15)*(D15/100)^(1/F15)</f>
        <v>84606.54743723986</v>
      </c>
      <c r="I15" s="5">
        <f t="shared" si="2"/>
        <v>383709.943515956</v>
      </c>
      <c r="J15" s="5">
        <f t="shared" si="3"/>
        <v>544106.4927063772</v>
      </c>
      <c r="K15" s="5">
        <f t="shared" si="4"/>
        <v>771551.2209365616</v>
      </c>
      <c r="L15" s="5">
        <f t="shared" si="5"/>
        <v>1736028.2997265607</v>
      </c>
      <c r="M15" s="5">
        <f t="shared" si="6"/>
        <v>2461714.3375226487</v>
      </c>
      <c r="N15" s="5">
        <f t="shared" si="7"/>
        <v>5538978.670261641</v>
      </c>
      <c r="O15" s="5">
        <f t="shared" si="8"/>
        <v>17672686.96855103</v>
      </c>
      <c r="Q15" s="5">
        <f t="shared" si="9"/>
        <v>190368.90449724637</v>
      </c>
      <c r="R15" s="5">
        <f t="shared" si="10"/>
        <v>269945.9805425781</v>
      </c>
      <c r="S15" s="5">
        <f t="shared" si="11"/>
        <v>382787.47573581804</v>
      </c>
      <c r="T15" s="5">
        <f t="shared" si="12"/>
        <v>861290.6993415455</v>
      </c>
      <c r="U15" s="5">
        <f t="shared" si="13"/>
        <v>1221323.214418768</v>
      </c>
      <c r="V15" s="5">
        <f t="shared" si="14"/>
        <v>2748037.4676489853</v>
      </c>
      <c r="W15" s="5">
        <f t="shared" si="15"/>
        <v>8767899.072143594</v>
      </c>
    </row>
    <row r="16" spans="1:23" ht="12.75">
      <c r="A16" t="s">
        <v>18</v>
      </c>
      <c r="B16">
        <v>15027</v>
      </c>
      <c r="C16">
        <v>1315019</v>
      </c>
      <c r="H16" t="s">
        <v>19</v>
      </c>
      <c r="I16" s="5">
        <f>I8</f>
        <v>124796.19733542741</v>
      </c>
      <c r="J16" s="4">
        <f>J9</f>
        <v>242073.448974322</v>
      </c>
      <c r="K16" s="4">
        <f>K10</f>
        <v>440017.5602486225</v>
      </c>
      <c r="L16" s="4">
        <f>L13</f>
        <v>1470796.827106625</v>
      </c>
      <c r="M16" s="4">
        <f>M14</f>
        <v>2337083.289785788</v>
      </c>
      <c r="N16" s="4">
        <f>N14</f>
        <v>6265458.166028909</v>
      </c>
      <c r="O16" s="4">
        <f>O15</f>
        <v>17672686.96855103</v>
      </c>
      <c r="Q16" s="5">
        <f>Q8</f>
        <v>1814.6179205644933</v>
      </c>
      <c r="R16" s="4">
        <f>R9</f>
        <v>11787.98164675301</v>
      </c>
      <c r="S16" s="4">
        <f>S10</f>
        <v>58388.66306073145</v>
      </c>
      <c r="T16" s="4">
        <f>T13</f>
        <v>487939.69885050727</v>
      </c>
      <c r="U16" s="4">
        <f>U14</f>
        <v>905086.4130509389</v>
      </c>
      <c r="V16" s="4">
        <f>V14</f>
        <v>2426435.1563318013</v>
      </c>
      <c r="W16" s="4">
        <f>W15</f>
        <v>8767899.072143594</v>
      </c>
    </row>
    <row r="17" spans="1:9" ht="12.75">
      <c r="A17" t="s">
        <v>20</v>
      </c>
      <c r="B17">
        <f>B16-SUM(B7:B15)</f>
        <v>0</v>
      </c>
      <c r="C17">
        <f>C16-SUM(C7:C15)</f>
        <v>1</v>
      </c>
      <c r="I17" s="5"/>
    </row>
    <row r="18" ht="12.75">
      <c r="I18" s="5"/>
    </row>
    <row r="19" spans="1:9" ht="12.75">
      <c r="A19" s="1">
        <v>1903</v>
      </c>
      <c r="B19" t="s">
        <v>21</v>
      </c>
      <c r="C19" t="s">
        <v>2</v>
      </c>
      <c r="D19">
        <v>51559</v>
      </c>
      <c r="I19" s="5"/>
    </row>
    <row r="20" spans="1:23" ht="12.75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49</v>
      </c>
      <c r="J20" t="s">
        <v>11</v>
      </c>
      <c r="K20" t="s">
        <v>12</v>
      </c>
      <c r="L20" t="s">
        <v>13</v>
      </c>
      <c r="M20" t="s">
        <v>14</v>
      </c>
      <c r="N20" t="s">
        <v>15</v>
      </c>
      <c r="O20" t="s">
        <v>16</v>
      </c>
      <c r="P20" t="s">
        <v>17</v>
      </c>
      <c r="Q20" t="s">
        <v>49</v>
      </c>
      <c r="R20" t="s">
        <v>11</v>
      </c>
      <c r="S20" t="s">
        <v>12</v>
      </c>
      <c r="T20" t="s">
        <v>13</v>
      </c>
      <c r="U20" t="s">
        <v>14</v>
      </c>
      <c r="V20" t="s">
        <v>15</v>
      </c>
      <c r="W20" t="s">
        <v>16</v>
      </c>
    </row>
    <row r="21" spans="1:23" ht="12.75">
      <c r="A21">
        <v>1</v>
      </c>
      <c r="B21">
        <v>3269</v>
      </c>
      <c r="C21">
        <v>876</v>
      </c>
      <c r="D21" s="2">
        <f>100*SUM(B21:B$33)/$D$19</f>
        <v>31.64529955972769</v>
      </c>
      <c r="E21" s="2">
        <f>1000*SUM(C21:C$33)/(A21*SUM(B21:B$33))</f>
        <v>86679.76219661682</v>
      </c>
      <c r="F21" s="3">
        <f>E21/(E21-1)</f>
        <v>1.0000115368514115</v>
      </c>
      <c r="G21" s="4">
        <f>(A21)*(D21/100)^(1/F21)</f>
        <v>0.3164571961981174</v>
      </c>
      <c r="I21" s="5">
        <f>$E21*$G21/(0.2^(1/$F21))</f>
        <v>137149.62599190045</v>
      </c>
      <c r="J21" s="5">
        <f>$E21*$G21/(0.1^(1/$F21))</f>
        <v>274297.05851916596</v>
      </c>
      <c r="K21" s="5">
        <f>$E21*$G21/(0.05^(1/$F21))</f>
        <v>548589.7301441425</v>
      </c>
      <c r="L21" s="5">
        <f>$E21*$G21/(0.01^(1/$F21))</f>
        <v>2742897.721132833</v>
      </c>
      <c r="M21" s="5">
        <f>$E21*$G21/(0.005^(1/$F21))</f>
        <v>5485751.5744891055</v>
      </c>
      <c r="N21" s="5">
        <f>$E21*$G21/(0.001^(1/$F21))</f>
        <v>27428248.590095624</v>
      </c>
      <c r="O21" s="5">
        <f>$E21*$G21/(0.0001^(1/$F21))</f>
        <v>274275199.8821794</v>
      </c>
      <c r="Q21" s="5">
        <f>$G21/(0.2^(1/$F21))</f>
        <v>1.5822566019597768</v>
      </c>
      <c r="R21" s="5">
        <f>$G21/(0.1^(1/$F21))</f>
        <v>3.164487898535928</v>
      </c>
      <c r="S21" s="5">
        <f>$G21/(0.05^(1/$F21))</f>
        <v>6.32892518670932</v>
      </c>
      <c r="T21" s="5">
        <f>$G21/(0.01^(1/$F21))</f>
        <v>31.644038373237372</v>
      </c>
      <c r="U21" s="5">
        <f>$G21/(0.005^(1/$F21))</f>
        <v>63.287570656293504</v>
      </c>
      <c r="V21" s="5">
        <f>$G21/(0.001^(1/$F21))</f>
        <v>316.4319778344543</v>
      </c>
      <c r="W21" s="5">
        <f>$G21/(0.0001^(1/$F21))</f>
        <v>3164.2357215982825</v>
      </c>
    </row>
    <row r="22" spans="1:23" ht="12.75">
      <c r="A22">
        <v>500</v>
      </c>
      <c r="B22">
        <v>3060</v>
      </c>
      <c r="C22">
        <v>3568</v>
      </c>
      <c r="D22" s="2">
        <f>100*SUM(B22:B$33)/$D$19</f>
        <v>25.30499039934832</v>
      </c>
      <c r="E22" s="2">
        <f>1000*SUM(C22:C$33)/(A22*SUM(B22:B$33))</f>
        <v>216.66145474055338</v>
      </c>
      <c r="F22" s="3">
        <f aca="true" t="shared" si="16" ref="F22:F33">E22/(E22-1)</f>
        <v>1.0046368972202429</v>
      </c>
      <c r="G22" s="4">
        <f aca="true" t="shared" si="17" ref="G22:G29">(A22)*(D22/100)^(1/F22)</f>
        <v>127.32998282570088</v>
      </c>
      <c r="I22" s="5">
        <f aca="true" t="shared" si="18" ref="I22:I29">$E22*$G22/(0.2^(1/$F22))</f>
        <v>136916.64436658748</v>
      </c>
      <c r="J22" s="5">
        <f aca="true" t="shared" si="19" ref="J22:J33">$E22*$G22/(0.1^(1/$F22))</f>
        <v>272958.6362520744</v>
      </c>
      <c r="K22" s="5">
        <f aca="true" t="shared" si="20" ref="K22:K33">$E22*$G22/(0.05^(1/$F22))</f>
        <v>544173.5550069798</v>
      </c>
      <c r="L22" s="5">
        <f aca="true" t="shared" si="21" ref="L22:L33">$E22*$G22/(0.01^(1/$F22))</f>
        <v>2700731.0907153464</v>
      </c>
      <c r="M22" s="5">
        <f aca="true" t="shared" si="22" ref="M22:M33">$E22*$G22/(0.005^(1/$F22))</f>
        <v>5384209.34003798</v>
      </c>
      <c r="N22" s="5">
        <f aca="true" t="shared" si="23" ref="N22:N33">$E22*$G22/(0.001^(1/$F22))</f>
        <v>26721808.565971244</v>
      </c>
      <c r="O22" s="5">
        <f aca="true" t="shared" si="24" ref="O22:O33">$E22*$G22/(0.0001^(1/$F22))</f>
        <v>264393243.5521673</v>
      </c>
      <c r="Q22" s="5">
        <f aca="true" t="shared" si="25" ref="Q22:Q33">$G22/(0.2^(1/$F22))</f>
        <v>631.9381752999938</v>
      </c>
      <c r="R22" s="5">
        <f aca="true" t="shared" si="26" ref="R22:R33">$G22/(0.1^(1/$F22))</f>
        <v>1259.8393958857862</v>
      </c>
      <c r="S22" s="5">
        <f aca="true" t="shared" si="27" ref="S22:S33">$G22/(0.05^(1/$F22))</f>
        <v>2511.630671263672</v>
      </c>
      <c r="T22" s="5">
        <f aca="true" t="shared" si="28" ref="T22:T33">$G22/(0.01^(1/$F22))</f>
        <v>12465.212577610555</v>
      </c>
      <c r="U22" s="5">
        <f aca="true" t="shared" si="29" ref="U22:U33">$G22/(0.005^(1/$F22))</f>
        <v>24850.79474097243</v>
      </c>
      <c r="V22" s="5">
        <f aca="true" t="shared" si="30" ref="V22:V33">$G22/(0.001^(1/$F22))</f>
        <v>123334.39096478852</v>
      </c>
      <c r="W22" s="5">
        <f aca="true" t="shared" si="31" ref="W22:W33">$G22/(0.0001^(1/$F22))</f>
        <v>1220305.863213055</v>
      </c>
    </row>
    <row r="23" spans="1:23" ht="12.75">
      <c r="A23">
        <v>2000</v>
      </c>
      <c r="B23">
        <v>3686</v>
      </c>
      <c r="C23">
        <v>19972</v>
      </c>
      <c r="D23" s="2">
        <f>100*SUM(B23:B$33)/$D$19</f>
        <v>19.370042087705347</v>
      </c>
      <c r="E23" s="2">
        <f>1000*SUM(C23:C$33)/(A23*SUM(B23:B$33))</f>
        <v>70.58290778011416</v>
      </c>
      <c r="F23" s="3">
        <f t="shared" si="16"/>
        <v>1.0143713453763683</v>
      </c>
      <c r="G23" s="4">
        <f t="shared" si="17"/>
        <v>396.5156252421495</v>
      </c>
      <c r="I23" s="5">
        <f t="shared" si="18"/>
        <v>136781.39658437402</v>
      </c>
      <c r="J23" s="5">
        <f t="shared" si="19"/>
        <v>270889.4652562923</v>
      </c>
      <c r="K23" s="5">
        <f t="shared" si="20"/>
        <v>536484.5236214173</v>
      </c>
      <c r="L23" s="5">
        <f t="shared" si="21"/>
        <v>2621949.8454554775</v>
      </c>
      <c r="M23" s="5">
        <f t="shared" si="22"/>
        <v>5192654.917265212</v>
      </c>
      <c r="N23" s="5">
        <f t="shared" si="23"/>
        <v>25377956.22867737</v>
      </c>
      <c r="O23" s="5">
        <f t="shared" si="24"/>
        <v>245634241.80708656</v>
      </c>
      <c r="Q23" s="5">
        <f t="shared" si="25"/>
        <v>1937.8827096566633</v>
      </c>
      <c r="R23" s="5">
        <f t="shared" si="26"/>
        <v>3837.890415342339</v>
      </c>
      <c r="S23" s="5">
        <f t="shared" si="27"/>
        <v>7600.771071839649</v>
      </c>
      <c r="T23" s="5">
        <f t="shared" si="28"/>
        <v>37147.09308411602</v>
      </c>
      <c r="U23" s="5">
        <f t="shared" si="29"/>
        <v>73568.16374641025</v>
      </c>
      <c r="V23" s="5">
        <f t="shared" si="30"/>
        <v>359548.18279429525</v>
      </c>
      <c r="W23" s="5">
        <f t="shared" si="31"/>
        <v>3480081.078159986</v>
      </c>
    </row>
    <row r="24" spans="1:23" ht="12.75">
      <c r="A24">
        <v>10000</v>
      </c>
      <c r="B24">
        <v>3089</v>
      </c>
      <c r="C24">
        <v>74975</v>
      </c>
      <c r="D24" s="2">
        <f>100*SUM(B24:B$33)/$D$19</f>
        <v>12.220950755445218</v>
      </c>
      <c r="E24" s="2">
        <f>1000*SUM(C24:C$33)/(A24*SUM(B24:B$33))</f>
        <v>22.057625773686716</v>
      </c>
      <c r="F24" s="3">
        <f t="shared" si="16"/>
        <v>1.0474887345205643</v>
      </c>
      <c r="G24" s="4">
        <f t="shared" si="17"/>
        <v>1344.2864309315403</v>
      </c>
      <c r="I24" s="5">
        <f t="shared" si="18"/>
        <v>137826.3397401782</v>
      </c>
      <c r="J24" s="5">
        <f t="shared" si="19"/>
        <v>267125.1531865316</v>
      </c>
      <c r="K24" s="5">
        <f t="shared" si="20"/>
        <v>517722.8648707042</v>
      </c>
      <c r="L24" s="5">
        <f t="shared" si="21"/>
        <v>2406461.894902933</v>
      </c>
      <c r="M24" s="5">
        <f t="shared" si="22"/>
        <v>4664032.314326236</v>
      </c>
      <c r="N24" s="5">
        <f t="shared" si="23"/>
        <v>21679197.119920645</v>
      </c>
      <c r="O24" s="5">
        <f t="shared" si="24"/>
        <v>195302318.62795907</v>
      </c>
      <c r="Q24" s="5">
        <f t="shared" si="25"/>
        <v>6248.466682420366</v>
      </c>
      <c r="R24" s="5">
        <f t="shared" si="26"/>
        <v>12110.331181028296</v>
      </c>
      <c r="S24" s="5">
        <f t="shared" si="27"/>
        <v>23471.37766242789</v>
      </c>
      <c r="T24" s="5">
        <f t="shared" si="28"/>
        <v>109098.86311398401</v>
      </c>
      <c r="U24" s="5">
        <f t="shared" si="29"/>
        <v>211447.61282014844</v>
      </c>
      <c r="V24" s="5">
        <f t="shared" si="30"/>
        <v>982843.6361352402</v>
      </c>
      <c r="W24" s="5">
        <f t="shared" si="31"/>
        <v>8854185.878016924</v>
      </c>
    </row>
    <row r="25" spans="1:23" ht="12.75">
      <c r="A25">
        <v>50000</v>
      </c>
      <c r="B25">
        <v>1216</v>
      </c>
      <c r="C25">
        <v>88258</v>
      </c>
      <c r="D25" s="2">
        <f>100*SUM(B25:B$33)/$D$19</f>
        <v>6.229756201633081</v>
      </c>
      <c r="E25" s="2">
        <f>1000*SUM(C25:C$33)/(A25*SUM(B25:B$33))</f>
        <v>8.187272727272727</v>
      </c>
      <c r="F25" s="3">
        <f t="shared" si="16"/>
        <v>1.139134834303061</v>
      </c>
      <c r="G25" s="4">
        <f t="shared" si="17"/>
        <v>4372.052009951772</v>
      </c>
      <c r="I25" s="5">
        <f t="shared" si="18"/>
        <v>147035.3736242643</v>
      </c>
      <c r="J25" s="5">
        <f t="shared" si="19"/>
        <v>270199.0278385292</v>
      </c>
      <c r="K25" s="5">
        <f t="shared" si="20"/>
        <v>496530.2759827747</v>
      </c>
      <c r="L25" s="5">
        <f t="shared" si="21"/>
        <v>2039590.5312351086</v>
      </c>
      <c r="M25" s="5">
        <f t="shared" si="22"/>
        <v>3748046.2363884686</v>
      </c>
      <c r="N25" s="5">
        <f t="shared" si="23"/>
        <v>15395797.565896085</v>
      </c>
      <c r="O25" s="5">
        <f t="shared" si="24"/>
        <v>116214788.73336086</v>
      </c>
      <c r="Q25" s="5">
        <f t="shared" si="25"/>
        <v>17959.017431344742</v>
      </c>
      <c r="R25" s="5">
        <f t="shared" si="26"/>
        <v>33002.32407532558</v>
      </c>
      <c r="S25" s="5">
        <f t="shared" si="27"/>
        <v>60646.60266278616</v>
      </c>
      <c r="T25" s="5">
        <f t="shared" si="28"/>
        <v>249117.20901161665</v>
      </c>
      <c r="U25" s="5">
        <f t="shared" si="29"/>
        <v>457789.3471049651</v>
      </c>
      <c r="V25" s="5">
        <f t="shared" si="30"/>
        <v>1880454.9547507989</v>
      </c>
      <c r="W25" s="5">
        <f t="shared" si="31"/>
        <v>14194566.689617693</v>
      </c>
    </row>
    <row r="26" spans="1:23" ht="12.75">
      <c r="A26">
        <v>100000</v>
      </c>
      <c r="B26">
        <v>1005</v>
      </c>
      <c r="C26">
        <v>168894</v>
      </c>
      <c r="D26" s="2">
        <f>100*SUM(B26:B$33)/$D$19</f>
        <v>3.871293081712213</v>
      </c>
      <c r="E26" s="2">
        <f>1000*SUM(C26:C$33)/(A26*SUM(B26:B$33))</f>
        <v>6.145380761523046</v>
      </c>
      <c r="F26" s="3">
        <f t="shared" si="16"/>
        <v>1.1943490766471474</v>
      </c>
      <c r="G26" s="4">
        <f t="shared" si="17"/>
        <v>6571.213043255462</v>
      </c>
      <c r="I26" s="5">
        <f t="shared" si="18"/>
        <v>155390.78483783515</v>
      </c>
      <c r="J26" s="5">
        <f t="shared" si="19"/>
        <v>277632.62340924185</v>
      </c>
      <c r="K26" s="5">
        <f t="shared" si="20"/>
        <v>496038.8974258544</v>
      </c>
      <c r="L26" s="5">
        <f t="shared" si="21"/>
        <v>1908739.450074555</v>
      </c>
      <c r="M26" s="5">
        <f t="shared" si="22"/>
        <v>3410294.5131652593</v>
      </c>
      <c r="N26" s="5">
        <f t="shared" si="23"/>
        <v>13122687.973525949</v>
      </c>
      <c r="O26" s="5">
        <f t="shared" si="24"/>
        <v>90219196.57174586</v>
      </c>
      <c r="Q26" s="5">
        <f t="shared" si="25"/>
        <v>25285.786327635742</v>
      </c>
      <c r="R26" s="5">
        <f t="shared" si="26"/>
        <v>45177.44858830107</v>
      </c>
      <c r="S26" s="5">
        <f t="shared" si="27"/>
        <v>80717.35774805241</v>
      </c>
      <c r="T26" s="5">
        <f t="shared" si="28"/>
        <v>310597.426611122</v>
      </c>
      <c r="U26" s="5">
        <f t="shared" si="29"/>
        <v>554936.2432540414</v>
      </c>
      <c r="V26" s="5">
        <f t="shared" si="30"/>
        <v>2135374.272606288</v>
      </c>
      <c r="W26" s="5">
        <f t="shared" si="31"/>
        <v>14680814.757096728</v>
      </c>
    </row>
    <row r="27" spans="1:23" ht="12.75">
      <c r="A27">
        <v>250000</v>
      </c>
      <c r="B27">
        <v>454</v>
      </c>
      <c r="C27">
        <v>160433</v>
      </c>
      <c r="D27" s="2">
        <f>100*SUM(B27:B$33)/$D$19</f>
        <v>1.9220698617118253</v>
      </c>
      <c r="E27" s="2">
        <f>1000*SUM(C27:C$33)/(A27*SUM(B27:B$33))</f>
        <v>4.269319878910192</v>
      </c>
      <c r="F27" s="3">
        <f t="shared" si="16"/>
        <v>1.3058740157091462</v>
      </c>
      <c r="G27" s="4">
        <f t="shared" si="17"/>
        <v>12125.531984634552</v>
      </c>
      <c r="I27" s="5">
        <f t="shared" si="18"/>
        <v>177545.72305850105</v>
      </c>
      <c r="J27" s="5">
        <f t="shared" si="19"/>
        <v>301877.0878688622</v>
      </c>
      <c r="K27" s="5">
        <f t="shared" si="20"/>
        <v>513274.97283704014</v>
      </c>
      <c r="L27" s="5">
        <f t="shared" si="21"/>
        <v>1760357.2228128323</v>
      </c>
      <c r="M27" s="5">
        <f t="shared" si="22"/>
        <v>2993096.6675922484</v>
      </c>
      <c r="N27" s="5">
        <f t="shared" si="23"/>
        <v>10265295.633352196</v>
      </c>
      <c r="O27" s="5">
        <f t="shared" si="24"/>
        <v>59860744.78209677</v>
      </c>
      <c r="Q27" s="5">
        <f t="shared" si="25"/>
        <v>41586.41846809152</v>
      </c>
      <c r="R27" s="5">
        <f t="shared" si="26"/>
        <v>70708.47264457514</v>
      </c>
      <c r="S27" s="5">
        <f t="shared" si="27"/>
        <v>120224.06083286063</v>
      </c>
      <c r="T27" s="5">
        <f t="shared" si="28"/>
        <v>412327.319746814</v>
      </c>
      <c r="U27" s="5">
        <f t="shared" si="29"/>
        <v>701071.072790236</v>
      </c>
      <c r="V27" s="5">
        <f t="shared" si="30"/>
        <v>2404433.475238348</v>
      </c>
      <c r="W27" s="5">
        <f t="shared" si="31"/>
        <v>14021143.057890788</v>
      </c>
    </row>
    <row r="28" spans="1:23" ht="12.75">
      <c r="A28">
        <v>500000</v>
      </c>
      <c r="B28">
        <v>276</v>
      </c>
      <c r="C28">
        <v>201533</v>
      </c>
      <c r="D28" s="2">
        <f>100*SUM(B28:B$33)/$D$19</f>
        <v>1.0415252429255804</v>
      </c>
      <c r="E28" s="2">
        <f>1000*SUM(C28:C$33)/(A28*SUM(B28:B$33))</f>
        <v>3.3418659217877096</v>
      </c>
      <c r="F28" s="3">
        <f t="shared" si="16"/>
        <v>1.427009928577222</v>
      </c>
      <c r="G28" s="4">
        <f t="shared" si="17"/>
        <v>20408.9402656877</v>
      </c>
      <c r="I28" s="5">
        <f t="shared" si="18"/>
        <v>210680.27224858225</v>
      </c>
      <c r="J28" s="5">
        <f t="shared" si="19"/>
        <v>342432.87214112404</v>
      </c>
      <c r="K28" s="5">
        <f t="shared" si="20"/>
        <v>556579.2690094103</v>
      </c>
      <c r="L28" s="5">
        <f t="shared" si="21"/>
        <v>1719259.452306016</v>
      </c>
      <c r="M28" s="5">
        <f t="shared" si="22"/>
        <v>2794428.476503389</v>
      </c>
      <c r="N28" s="5">
        <f t="shared" si="23"/>
        <v>8631919.727395246</v>
      </c>
      <c r="O28" s="5">
        <f t="shared" si="24"/>
        <v>43338449.051570445</v>
      </c>
      <c r="Q28" s="5">
        <f t="shared" si="25"/>
        <v>63042.70643385962</v>
      </c>
      <c r="R28" s="5">
        <f t="shared" si="26"/>
        <v>102467.5675671458</v>
      </c>
      <c r="S28" s="5">
        <f t="shared" si="27"/>
        <v>166547.4564316667</v>
      </c>
      <c r="T28" s="5">
        <f t="shared" si="28"/>
        <v>514460.93067261943</v>
      </c>
      <c r="U28" s="5">
        <f t="shared" si="29"/>
        <v>836188.0883026354</v>
      </c>
      <c r="V28" s="5">
        <f t="shared" si="30"/>
        <v>2582964.1073025623</v>
      </c>
      <c r="W28" s="5">
        <f t="shared" si="31"/>
        <v>12968338.666437827</v>
      </c>
    </row>
    <row r="29" spans="1:23" ht="12.75">
      <c r="A29">
        <v>1000000</v>
      </c>
      <c r="B29">
        <v>172</v>
      </c>
      <c r="C29">
        <v>240840</v>
      </c>
      <c r="D29" s="2">
        <f>100*SUM(B29:B$33)/$D$19</f>
        <v>0.5062161795224888</v>
      </c>
      <c r="E29" s="2">
        <f>1000*SUM(C29:C$33)/(A29*SUM(B29:B$33))</f>
        <v>2.6657394636015326</v>
      </c>
      <c r="F29" s="3">
        <f t="shared" si="16"/>
        <v>1.6003339789032058</v>
      </c>
      <c r="G29" s="4">
        <f t="shared" si="17"/>
        <v>36771.33899791402</v>
      </c>
      <c r="I29" s="5">
        <f t="shared" si="18"/>
        <v>267973.73515377956</v>
      </c>
      <c r="J29" s="5">
        <f t="shared" si="19"/>
        <v>413234.6332692684</v>
      </c>
      <c r="K29" s="5">
        <f t="shared" si="20"/>
        <v>637237.3099743999</v>
      </c>
      <c r="L29" s="5">
        <f t="shared" si="21"/>
        <v>1742072.7176748612</v>
      </c>
      <c r="M29" s="5">
        <f t="shared" si="22"/>
        <v>2686400.5168404104</v>
      </c>
      <c r="N29" s="5">
        <f t="shared" si="23"/>
        <v>7344053.739294292</v>
      </c>
      <c r="O29" s="5">
        <f t="shared" si="24"/>
        <v>30960318.004193027</v>
      </c>
      <c r="Q29" s="5">
        <f t="shared" si="25"/>
        <v>100525.1033766575</v>
      </c>
      <c r="R29" s="5">
        <f t="shared" si="26"/>
        <v>155016.88702577483</v>
      </c>
      <c r="S29" s="5">
        <f t="shared" si="27"/>
        <v>239047.108194686</v>
      </c>
      <c r="T29" s="5">
        <f t="shared" si="28"/>
        <v>653504.4933915797</v>
      </c>
      <c r="U29" s="5">
        <f t="shared" si="29"/>
        <v>1007750.5898535801</v>
      </c>
      <c r="V29" s="5">
        <f t="shared" si="30"/>
        <v>2754978.061273906</v>
      </c>
      <c r="W29" s="5">
        <f t="shared" si="31"/>
        <v>11614157.507487345</v>
      </c>
    </row>
    <row r="30" spans="1:23" ht="12.75">
      <c r="A30">
        <v>2000000</v>
      </c>
      <c r="B30">
        <v>71</v>
      </c>
      <c r="C30">
        <v>224251</v>
      </c>
      <c r="D30" s="2">
        <f>100*SUM(B30:B$33)/$D$19</f>
        <v>0.17261777769157663</v>
      </c>
      <c r="E30" s="2">
        <f>1000*SUM(C30:C$33)/(A30*SUM(B30:B$33))</f>
        <v>2.5557191011235956</v>
      </c>
      <c r="F30" s="3">
        <f t="shared" si="16"/>
        <v>1.6427895622530857</v>
      </c>
      <c r="G30" s="4">
        <f>(A30)*(D30/100)^(1/F30)</f>
        <v>41608.95231711806</v>
      </c>
      <c r="J30" s="5">
        <f t="shared" si="19"/>
        <v>431937.1834874434</v>
      </c>
      <c r="K30" s="5">
        <f t="shared" si="20"/>
        <v>658663.7759211507</v>
      </c>
      <c r="L30" s="5">
        <f t="shared" si="21"/>
        <v>1754451.1667136976</v>
      </c>
      <c r="M30" s="5">
        <f t="shared" si="22"/>
        <v>2675373.814328041</v>
      </c>
      <c r="N30" s="5">
        <f t="shared" si="23"/>
        <v>7126265.147007277</v>
      </c>
      <c r="O30" s="5">
        <f t="shared" si="24"/>
        <v>28945607.554626133</v>
      </c>
      <c r="Q30" s="5">
        <f t="shared" si="25"/>
        <v>110831.77427878077</v>
      </c>
      <c r="R30" s="5">
        <f t="shared" si="26"/>
        <v>169008.08202965136</v>
      </c>
      <c r="S30" s="5">
        <f t="shared" si="27"/>
        <v>257721.5061043195</v>
      </c>
      <c r="T30" s="5">
        <f t="shared" si="28"/>
        <v>686480.4375184939</v>
      </c>
      <c r="U30" s="5">
        <f t="shared" si="29"/>
        <v>1046818.4133193045</v>
      </c>
      <c r="V30" s="5">
        <f t="shared" si="30"/>
        <v>2788360.091636944</v>
      </c>
      <c r="W30" s="5">
        <f t="shared" si="31"/>
        <v>11325817.278550094</v>
      </c>
    </row>
    <row r="31" spans="1:23" ht="12.75">
      <c r="A31">
        <v>5000000</v>
      </c>
      <c r="B31">
        <v>11</v>
      </c>
      <c r="C31">
        <v>91461</v>
      </c>
      <c r="D31" s="2">
        <f>100*SUM(B31:B$33)/$D$19</f>
        <v>0.03491146065672337</v>
      </c>
      <c r="E31" s="2">
        <f>1000*SUM(C31:C$33)/(A31*SUM(B31:B$33))</f>
        <v>2.5629666666666666</v>
      </c>
      <c r="F31" s="3">
        <f t="shared" si="16"/>
        <v>1.6398089104054256</v>
      </c>
      <c r="G31" s="4">
        <f>(A31)*(D31/100)^(1/F31)</f>
        <v>38974.27385376155</v>
      </c>
      <c r="J31" s="5">
        <f t="shared" si="19"/>
        <v>406769.2771883018</v>
      </c>
      <c r="K31" s="5">
        <f t="shared" si="20"/>
        <v>620760.9785737987</v>
      </c>
      <c r="L31" s="5">
        <f t="shared" si="21"/>
        <v>1656438.4277721955</v>
      </c>
      <c r="M31" s="5">
        <f t="shared" si="22"/>
        <v>2527851.5291977515</v>
      </c>
      <c r="N31" s="5">
        <f t="shared" si="23"/>
        <v>6745318.338607629</v>
      </c>
      <c r="O31" s="5">
        <f t="shared" si="24"/>
        <v>27468162.248777404</v>
      </c>
      <c r="Q31" s="5">
        <f t="shared" si="25"/>
        <v>103998.9418378249</v>
      </c>
      <c r="R31" s="5">
        <f t="shared" si="26"/>
        <v>158710.32677820043</v>
      </c>
      <c r="S31" s="5">
        <f t="shared" si="27"/>
        <v>242204.0780503578</v>
      </c>
      <c r="T31" s="5">
        <f t="shared" si="28"/>
        <v>646297.2965335206</v>
      </c>
      <c r="U31" s="5">
        <f t="shared" si="29"/>
        <v>986299.0268560203</v>
      </c>
      <c r="V31" s="5">
        <f t="shared" si="30"/>
        <v>2631840.057202316</v>
      </c>
      <c r="W31" s="5">
        <f t="shared" si="31"/>
        <v>10717331.05468041</v>
      </c>
    </row>
    <row r="32" spans="1:23" ht="12.75">
      <c r="A32">
        <v>10000000</v>
      </c>
      <c r="B32">
        <v>6</v>
      </c>
      <c r="C32">
        <v>88572</v>
      </c>
      <c r="D32" s="2">
        <f>100*SUM(B32:B$33)/$D$19</f>
        <v>0.013576679144281309</v>
      </c>
      <c r="E32" s="2">
        <f>1000*SUM(C32:C$33)/(A32*SUM(B32:B$33))</f>
        <v>1.988657142857143</v>
      </c>
      <c r="F32" s="3">
        <f t="shared" si="16"/>
        <v>2.011472993671069</v>
      </c>
      <c r="G32" s="4">
        <f>(A32)*(D32/100)^(1/F32)</f>
        <v>119515.8815274907</v>
      </c>
      <c r="J32" s="5">
        <f t="shared" si="19"/>
        <v>746678.4976456113</v>
      </c>
      <c r="K32" s="5">
        <f t="shared" si="20"/>
        <v>1053877.5152163482</v>
      </c>
      <c r="L32" s="5">
        <f t="shared" si="21"/>
        <v>2345750.169691064</v>
      </c>
      <c r="M32" s="5">
        <f t="shared" si="22"/>
        <v>3310840.432592275</v>
      </c>
      <c r="N32" s="5">
        <f t="shared" si="23"/>
        <v>7369361.614076203</v>
      </c>
      <c r="O32" s="5">
        <f t="shared" si="24"/>
        <v>23151438.41859856</v>
      </c>
      <c r="Q32" s="5">
        <f t="shared" si="25"/>
        <v>266021.8055001725</v>
      </c>
      <c r="R32" s="5">
        <f t="shared" si="26"/>
        <v>375468.69269422867</v>
      </c>
      <c r="S32" s="5">
        <f t="shared" si="27"/>
        <v>529944.2988459145</v>
      </c>
      <c r="T32" s="5">
        <f t="shared" si="28"/>
        <v>1179564.9029379084</v>
      </c>
      <c r="U32" s="5">
        <f t="shared" si="29"/>
        <v>1664862.3642763908</v>
      </c>
      <c r="V32" s="5">
        <f t="shared" si="30"/>
        <v>3705697.4051789017</v>
      </c>
      <c r="W32" s="5">
        <f t="shared" si="31"/>
        <v>11641744.531858534</v>
      </c>
    </row>
    <row r="33" spans="1:23" ht="12.75">
      <c r="A33">
        <v>50000000</v>
      </c>
      <c r="B33">
        <v>1</v>
      </c>
      <c r="C33">
        <v>50634</v>
      </c>
      <c r="D33" s="2">
        <f>100*SUM(B33:B$33)/$D$19</f>
        <v>0.001939525592040187</v>
      </c>
      <c r="E33" s="2">
        <f>1000*SUM(C33:C$33)/(A33*SUM(B33:B$33))</f>
        <v>1.01268</v>
      </c>
      <c r="F33" s="3">
        <f t="shared" si="16"/>
        <v>79.86435331230268</v>
      </c>
      <c r="G33" s="4">
        <f>(A33)*(D33/100)^(1/F33)</f>
        <v>43648181.274356544</v>
      </c>
      <c r="J33" s="5">
        <f t="shared" si="19"/>
        <v>45494575.39019063</v>
      </c>
      <c r="K33" s="5">
        <f t="shared" si="20"/>
        <v>45891143.77985822</v>
      </c>
      <c r="L33" s="5">
        <f t="shared" si="21"/>
        <v>46825330.00956312</v>
      </c>
      <c r="M33" s="5">
        <f t="shared" si="22"/>
        <v>47233498.35838894</v>
      </c>
      <c r="N33" s="5">
        <f t="shared" si="23"/>
        <v>48195010.32154386</v>
      </c>
      <c r="O33" s="5">
        <f t="shared" si="24"/>
        <v>49604754.93540233</v>
      </c>
      <c r="Q33" s="5">
        <f t="shared" si="25"/>
        <v>44536708.48330495</v>
      </c>
      <c r="R33" s="5">
        <f t="shared" si="26"/>
        <v>44924927.31187604</v>
      </c>
      <c r="S33" s="5">
        <f t="shared" si="27"/>
        <v>45316530.17721118</v>
      </c>
      <c r="T33" s="5">
        <f t="shared" si="28"/>
        <v>46239019.2455298</v>
      </c>
      <c r="U33" s="5">
        <f t="shared" si="29"/>
        <v>46642076.82425736</v>
      </c>
      <c r="V33" s="5">
        <f t="shared" si="30"/>
        <v>47591549.474210866</v>
      </c>
      <c r="W33" s="5">
        <f t="shared" si="31"/>
        <v>48983642.35039926</v>
      </c>
    </row>
    <row r="34" spans="1:23" ht="12.75">
      <c r="A34" t="s">
        <v>18</v>
      </c>
      <c r="B34">
        <v>16316</v>
      </c>
      <c r="C34">
        <v>1414268</v>
      </c>
      <c r="H34" t="s">
        <v>19</v>
      </c>
      <c r="I34" s="5">
        <f>I23</f>
        <v>136781.39658437402</v>
      </c>
      <c r="J34" s="4">
        <f>J24</f>
        <v>267125.1531865316</v>
      </c>
      <c r="K34" s="4">
        <f>K25</f>
        <v>496530.2759827747</v>
      </c>
      <c r="L34" s="4">
        <f>L28</f>
        <v>1719259.452306016</v>
      </c>
      <c r="M34" s="4">
        <f>M29</f>
        <v>2686400.5168404104</v>
      </c>
      <c r="N34" s="4">
        <f>N30</f>
        <v>7126265.147007277</v>
      </c>
      <c r="O34" s="4">
        <f>O32</f>
        <v>23151438.41859856</v>
      </c>
      <c r="Q34" s="5">
        <f>Q23</f>
        <v>1937.8827096566633</v>
      </c>
      <c r="R34" s="4">
        <f>R24</f>
        <v>12110.331181028296</v>
      </c>
      <c r="S34" s="4">
        <f>S25</f>
        <v>60646.60266278616</v>
      </c>
      <c r="T34" s="4">
        <f>T28</f>
        <v>514460.93067261943</v>
      </c>
      <c r="U34" s="4">
        <f>U29</f>
        <v>1007750.5898535801</v>
      </c>
      <c r="V34" s="4">
        <f>V30</f>
        <v>2788360.091636944</v>
      </c>
      <c r="W34" s="4">
        <f>W32</f>
        <v>11641744.531858534</v>
      </c>
    </row>
    <row r="35" spans="1:3" ht="12.75">
      <c r="A35" t="s">
        <v>20</v>
      </c>
      <c r="B35">
        <f>B34-SUM(B21:B33)</f>
        <v>0</v>
      </c>
      <c r="C35">
        <f>C34-SUM(C21:C33)</f>
        <v>1</v>
      </c>
    </row>
    <row r="37" spans="1:4" ht="12.75">
      <c r="A37" s="1">
        <v>1904</v>
      </c>
      <c r="B37" t="s">
        <v>22</v>
      </c>
      <c r="C37" t="s">
        <v>2</v>
      </c>
      <c r="D37">
        <v>52571</v>
      </c>
    </row>
    <row r="38" spans="1:23" ht="12.75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49</v>
      </c>
      <c r="J38" t="s">
        <v>11</v>
      </c>
      <c r="K38" t="s">
        <v>12</v>
      </c>
      <c r="L38" t="s">
        <v>13</v>
      </c>
      <c r="M38" t="s">
        <v>14</v>
      </c>
      <c r="N38" t="s">
        <v>15</v>
      </c>
      <c r="O38" t="s">
        <v>16</v>
      </c>
      <c r="P38" t="s">
        <v>17</v>
      </c>
      <c r="Q38" t="s">
        <v>49</v>
      </c>
      <c r="R38" t="s">
        <v>11</v>
      </c>
      <c r="S38" t="s">
        <v>12</v>
      </c>
      <c r="T38" t="s">
        <v>13</v>
      </c>
      <c r="U38" t="s">
        <v>14</v>
      </c>
      <c r="V38" t="s">
        <v>15</v>
      </c>
      <c r="W38" t="s">
        <v>16</v>
      </c>
    </row>
    <row r="39" spans="1:23" ht="12.75">
      <c r="A39">
        <v>1</v>
      </c>
      <c r="B39">
        <v>2579</v>
      </c>
      <c r="C39">
        <v>649</v>
      </c>
      <c r="D39" s="2">
        <f>100*SUM(B39:B$51)/$D$37</f>
        <v>29.913830819272984</v>
      </c>
      <c r="E39" s="2">
        <f>1000*SUM(C39:C$51)/(A39*SUM(B39:B$51))</f>
        <v>111400.48327610327</v>
      </c>
      <c r="F39" s="3">
        <f>E39/(E39-1)</f>
        <v>1.0000089767023204</v>
      </c>
      <c r="G39" s="4">
        <f>(A39)*(D39/100)^(1/F39)</f>
        <v>0.29914154890395306</v>
      </c>
      <c r="I39" s="5">
        <f>$E39*$G39/(0.2^(1/$F39))</f>
        <v>166620.1583479513</v>
      </c>
      <c r="J39" s="5">
        <f>$E39*$G39/(0.1^(1/$F39))</f>
        <v>333238.2432410973</v>
      </c>
      <c r="K39" s="5">
        <f>$E39*$G39/(0.05^(1/$F39))</f>
        <v>666472.3395983863</v>
      </c>
      <c r="L39" s="5">
        <f>$E39*$G39/(0.01^(1/$F39))</f>
        <v>3332313.554659379</v>
      </c>
      <c r="M39" s="5">
        <f>$E39*$G39/(0.005^(1/$F39))</f>
        <v>6664585.641337804</v>
      </c>
      <c r="N39" s="5">
        <f>$E39*$G39/(0.001^(1/$F39))</f>
        <v>33322446.783314355</v>
      </c>
      <c r="O39" s="5">
        <f>$E39*$G39/(0.0001^(1/$F39))</f>
        <v>333217580.3427112</v>
      </c>
      <c r="Q39" s="5">
        <f>$G39/(0.2^(1/$F39))</f>
        <v>1.495686135714398</v>
      </c>
      <c r="R39" s="5">
        <f>$G39/(0.1^(1/$F39))</f>
        <v>2.991353658809314</v>
      </c>
      <c r="S39" s="5">
        <f>$G39/(0.05^(1/$F39))</f>
        <v>5.982670092611282</v>
      </c>
      <c r="T39" s="5">
        <f>$G39/(0.01^(1/$F39))</f>
        <v>29.912918298570794</v>
      </c>
      <c r="U39" s="5">
        <f>$G39/(0.005^(1/$F39))</f>
        <v>59.825464354762246</v>
      </c>
      <c r="V39" s="5">
        <f>$G39/(0.001^(1/$F39))</f>
        <v>299.1230002182802</v>
      </c>
      <c r="W39" s="5">
        <f>$G39/(0.0001^(1/$F39))</f>
        <v>2991.1681757864544</v>
      </c>
    </row>
    <row r="40" spans="1:23" ht="12.75">
      <c r="A40">
        <v>500</v>
      </c>
      <c r="B40">
        <v>3193</v>
      </c>
      <c r="C40">
        <v>3793</v>
      </c>
      <c r="D40" s="2">
        <f>100*SUM(B40:B$51)/$D$37</f>
        <v>25.008084305035094</v>
      </c>
      <c r="E40" s="2">
        <f>1000*SUM(C40:C$51)/(A40*SUM(B40:B$51))</f>
        <v>266.4083060774321</v>
      </c>
      <c r="F40" s="3">
        <f aca="true" t="shared" si="32" ref="F40:F51">E40/(E40-1)</f>
        <v>1.0037677795950677</v>
      </c>
      <c r="G40" s="4">
        <f aca="true" t="shared" si="33" ref="G40:G51">(A40)*(D40/100)^(1/F40)</f>
        <v>125.69263085566278</v>
      </c>
      <c r="I40" s="5">
        <f aca="true" t="shared" si="34" ref="I40:I47">$E40*$G40/(0.2^(1/$F40))</f>
        <v>166419.38106952028</v>
      </c>
      <c r="J40" s="5">
        <f aca="true" t="shared" si="35" ref="J40:J51">$E40*$G40/(0.1^(1/$F40))</f>
        <v>331973.90028583835</v>
      </c>
      <c r="K40" s="5">
        <f aca="true" t="shared" si="36" ref="K40:K51">$E40*$G40/(0.05^(1/$F40))</f>
        <v>662222.5714501002</v>
      </c>
      <c r="L40" s="5">
        <f aca="true" t="shared" si="37" ref="L40:L51">$E40*$G40/(0.01^(1/$F40))</f>
        <v>3291169.913206658</v>
      </c>
      <c r="M40" s="5">
        <f aca="true" t="shared" si="38" ref="M40:M51">$E40*$G40/(0.005^(1/$F40))</f>
        <v>6565236.005379701</v>
      </c>
      <c r="N40" s="5">
        <f aca="true" t="shared" si="39" ref="N40:N51">$E40*$G40/(0.001^(1/$F40))</f>
        <v>32628466.841128957</v>
      </c>
      <c r="O40" s="5">
        <f aca="true" t="shared" si="40" ref="O40:O51">$E40*$G40/(0.0001^(1/$F40))</f>
        <v>323476719.97443944</v>
      </c>
      <c r="Q40" s="5">
        <f aca="true" t="shared" si="41" ref="Q40:Q51">$G40/(0.2^(1/$F40))</f>
        <v>624.6778995740102</v>
      </c>
      <c r="R40" s="5">
        <f aca="true" t="shared" si="42" ref="R40:R51">$G40/(0.1^(1/$F40))</f>
        <v>1246.1094219387796</v>
      </c>
      <c r="S40" s="5">
        <f aca="true" t="shared" si="43" ref="S40:S51">$G40/(0.05^(1/$F40))</f>
        <v>2485.742960497725</v>
      </c>
      <c r="T40" s="5">
        <f aca="true" t="shared" si="44" ref="T40:T51">$G40/(0.01^(1/$F40))</f>
        <v>12353.856235436118</v>
      </c>
      <c r="U40" s="5">
        <f aca="true" t="shared" si="45" ref="U40:U51">$G40/(0.005^(1/$F40))</f>
        <v>24643.510940201326</v>
      </c>
      <c r="V40" s="5">
        <f aca="true" t="shared" si="46" ref="V40:V51">$G40/(0.001^(1/$F40))</f>
        <v>122475.41122702621</v>
      </c>
      <c r="W40" s="5">
        <f aca="true" t="shared" si="47" ref="W40:W51">$G40/(0.0001^(1/$F40))</f>
        <v>1214214.093911998</v>
      </c>
    </row>
    <row r="41" spans="1:23" ht="12.75">
      <c r="A41">
        <v>2000</v>
      </c>
      <c r="B41">
        <v>3859</v>
      </c>
      <c r="C41">
        <v>19870</v>
      </c>
      <c r="D41" s="2">
        <f>100*SUM(B41:B$51)/$D$37</f>
        <v>18.934393486903424</v>
      </c>
      <c r="E41" s="2">
        <f>1000*SUM(C41:C$51)/(A41*SUM(B41:B$51))</f>
        <v>87.77586899738799</v>
      </c>
      <c r="F41" s="3">
        <f t="shared" si="32"/>
        <v>1.0115239410628099</v>
      </c>
      <c r="G41" s="4">
        <f t="shared" si="33"/>
        <v>385.9361123514766</v>
      </c>
      <c r="I41" s="5">
        <f t="shared" si="34"/>
        <v>166301.98661845995</v>
      </c>
      <c r="J41" s="5">
        <f t="shared" si="35"/>
        <v>329987.8143312096</v>
      </c>
      <c r="K41" s="5">
        <f t="shared" si="36"/>
        <v>654784.4666276621</v>
      </c>
      <c r="L41" s="5">
        <f t="shared" si="37"/>
        <v>3214439.453557529</v>
      </c>
      <c r="M41" s="5">
        <f t="shared" si="38"/>
        <v>6378311.354830883</v>
      </c>
      <c r="N41" s="5">
        <f t="shared" si="39"/>
        <v>31312128.969151434</v>
      </c>
      <c r="O41" s="5">
        <f t="shared" si="40"/>
        <v>305014119.80109775</v>
      </c>
      <c r="Q41" s="5">
        <f t="shared" si="41"/>
        <v>1894.620794052278</v>
      </c>
      <c r="R41" s="5">
        <f t="shared" si="42"/>
        <v>3759.436598013393</v>
      </c>
      <c r="S41" s="5">
        <f t="shared" si="43"/>
        <v>7459.732089318841</v>
      </c>
      <c r="T41" s="5">
        <f t="shared" si="44"/>
        <v>36620.992651786604</v>
      </c>
      <c r="U41" s="5">
        <f t="shared" si="45"/>
        <v>72665.8867372841</v>
      </c>
      <c r="V41" s="5">
        <f t="shared" si="46"/>
        <v>356728.2138794115</v>
      </c>
      <c r="W41" s="5">
        <f t="shared" si="47"/>
        <v>3474919.9670147873</v>
      </c>
    </row>
    <row r="42" spans="1:23" ht="12.75">
      <c r="A42">
        <v>10000</v>
      </c>
      <c r="B42">
        <v>3024</v>
      </c>
      <c r="C42">
        <v>77531</v>
      </c>
      <c r="D42" s="2">
        <f>100*SUM(B42:B$51)/$D$37</f>
        <v>11.593844515036807</v>
      </c>
      <c r="E42" s="2">
        <f>1000*SUM(C42:C$51)/(A42*SUM(B42:B$51))</f>
        <v>28.34408531583265</v>
      </c>
      <c r="F42" s="3">
        <f t="shared" si="32"/>
        <v>1.0365709801022667</v>
      </c>
      <c r="G42" s="4">
        <f t="shared" si="33"/>
        <v>1250.956502600388</v>
      </c>
      <c r="I42" s="5">
        <f t="shared" si="34"/>
        <v>167499.8754264957</v>
      </c>
      <c r="J42" s="5">
        <f t="shared" si="35"/>
        <v>326906.77878676535</v>
      </c>
      <c r="K42" s="5">
        <f t="shared" si="36"/>
        <v>638018.6358027252</v>
      </c>
      <c r="L42" s="5">
        <f t="shared" si="37"/>
        <v>3013999.646298551</v>
      </c>
      <c r="M42" s="5">
        <f t="shared" si="38"/>
        <v>5882374.020440923</v>
      </c>
      <c r="N42" s="5">
        <f t="shared" si="39"/>
        <v>27788331.28392614</v>
      </c>
      <c r="O42" s="5">
        <f t="shared" si="40"/>
        <v>256201541.52756602</v>
      </c>
      <c r="Q42" s="5">
        <f t="shared" si="41"/>
        <v>5909.517755118116</v>
      </c>
      <c r="R42" s="5">
        <f t="shared" si="42"/>
        <v>11533.509553901864</v>
      </c>
      <c r="S42" s="5">
        <f t="shared" si="43"/>
        <v>22509.762749208774</v>
      </c>
      <c r="T42" s="5">
        <f t="shared" si="44"/>
        <v>106336.10549481973</v>
      </c>
      <c r="U42" s="5">
        <f t="shared" si="45"/>
        <v>207534.44519005535</v>
      </c>
      <c r="V42" s="5">
        <f t="shared" si="46"/>
        <v>980392.5924680987</v>
      </c>
      <c r="W42" s="5">
        <f t="shared" si="47"/>
        <v>9038977.221270747</v>
      </c>
    </row>
    <row r="43" spans="1:23" ht="12.75">
      <c r="A43">
        <v>50000</v>
      </c>
      <c r="B43">
        <v>1112</v>
      </c>
      <c r="C43">
        <v>87725</v>
      </c>
      <c r="D43" s="2">
        <f>100*SUM(B43:B$51)/$D$37</f>
        <v>5.841623708888931</v>
      </c>
      <c r="E43" s="2">
        <f>1000*SUM(C43:C$51)/(A43*SUM(B43:B$51))</f>
        <v>10.745952458482579</v>
      </c>
      <c r="F43" s="3">
        <f t="shared" si="32"/>
        <v>1.1026066979353701</v>
      </c>
      <c r="G43" s="4">
        <f t="shared" si="33"/>
        <v>3804.4148054440557</v>
      </c>
      <c r="I43" s="5">
        <f t="shared" si="34"/>
        <v>175977.7766352881</v>
      </c>
      <c r="J43" s="5">
        <f t="shared" si="35"/>
        <v>329970.0209077931</v>
      </c>
      <c r="K43" s="5">
        <f t="shared" si="36"/>
        <v>618715.7081973053</v>
      </c>
      <c r="L43" s="5">
        <f t="shared" si="37"/>
        <v>2663276.0926341177</v>
      </c>
      <c r="M43" s="5">
        <f t="shared" si="38"/>
        <v>4993819.587748351</v>
      </c>
      <c r="N43" s="5">
        <f t="shared" si="39"/>
        <v>21496012.050072078</v>
      </c>
      <c r="O43" s="5">
        <f t="shared" si="40"/>
        <v>173500049.55731946</v>
      </c>
      <c r="Q43" s="5">
        <f t="shared" si="41"/>
        <v>16376.191623328443</v>
      </c>
      <c r="R43" s="5">
        <f t="shared" si="42"/>
        <v>30706.447118824097</v>
      </c>
      <c r="S43" s="5">
        <f t="shared" si="43"/>
        <v>57576.62809208755</v>
      </c>
      <c r="T43" s="5">
        <f t="shared" si="44"/>
        <v>247839.92884053715</v>
      </c>
      <c r="U43" s="5">
        <f t="shared" si="45"/>
        <v>464716.3298965051</v>
      </c>
      <c r="V43" s="5">
        <f t="shared" si="46"/>
        <v>2000382.202798941</v>
      </c>
      <c r="W43" s="5">
        <f t="shared" si="47"/>
        <v>16145618.569190947</v>
      </c>
    </row>
    <row r="44" spans="1:23" ht="12.75">
      <c r="A44">
        <v>100000</v>
      </c>
      <c r="B44">
        <v>933</v>
      </c>
      <c r="C44">
        <v>156479</v>
      </c>
      <c r="D44" s="2">
        <f>100*SUM(B44:B$51)/$D$37</f>
        <v>3.7263890738239716</v>
      </c>
      <c r="E44" s="2">
        <f>1000*SUM(C44:C$51)/(A44*SUM(B44:B$51))</f>
        <v>7.975068912710567</v>
      </c>
      <c r="F44" s="3">
        <f t="shared" si="32"/>
        <v>1.1433677591597289</v>
      </c>
      <c r="G44" s="4">
        <f t="shared" si="33"/>
        <v>5629.0546504673885</v>
      </c>
      <c r="I44" s="5">
        <f t="shared" si="34"/>
        <v>183440.6284818152</v>
      </c>
      <c r="J44" s="5">
        <f t="shared" si="35"/>
        <v>336340.48304032715</v>
      </c>
      <c r="K44" s="5">
        <f t="shared" si="36"/>
        <v>616684.1090114064</v>
      </c>
      <c r="L44" s="5">
        <f t="shared" si="37"/>
        <v>2519929.4236506266</v>
      </c>
      <c r="M44" s="5">
        <f t="shared" si="38"/>
        <v>4620319.31853202</v>
      </c>
      <c r="N44" s="5">
        <f t="shared" si="39"/>
        <v>18879809.658294436</v>
      </c>
      <c r="O44" s="5">
        <f t="shared" si="40"/>
        <v>141451268.19347253</v>
      </c>
      <c r="Q44" s="5">
        <f t="shared" si="41"/>
        <v>23001.760923902457</v>
      </c>
      <c r="R44" s="5">
        <f t="shared" si="42"/>
        <v>42173.99081082193</v>
      </c>
      <c r="S44" s="5">
        <f t="shared" si="43"/>
        <v>77326.49281920848</v>
      </c>
      <c r="T44" s="5">
        <f t="shared" si="44"/>
        <v>315975.88073933683</v>
      </c>
      <c r="U44" s="5">
        <f t="shared" si="45"/>
        <v>579345.3785920534</v>
      </c>
      <c r="V44" s="5">
        <f t="shared" si="46"/>
        <v>2367353.7953012576</v>
      </c>
      <c r="W44" s="5">
        <f t="shared" si="47"/>
        <v>17736682.87279991</v>
      </c>
    </row>
    <row r="45" spans="1:23" ht="12.75">
      <c r="A45">
        <v>250000</v>
      </c>
      <c r="B45">
        <v>462</v>
      </c>
      <c r="C45">
        <v>173422</v>
      </c>
      <c r="D45" s="2">
        <f>100*SUM(B45:B$51)/$D$37</f>
        <v>1.9516463449430295</v>
      </c>
      <c r="E45" s="2">
        <f>1000*SUM(C45:C$51)/(A45*SUM(B45:B$51))</f>
        <v>5.480846003898636</v>
      </c>
      <c r="F45" s="3">
        <f t="shared" si="32"/>
        <v>1.2231721418522157</v>
      </c>
      <c r="G45" s="4">
        <f t="shared" si="33"/>
        <v>10006.070872520118</v>
      </c>
      <c r="I45" s="5">
        <f t="shared" si="34"/>
        <v>204433.2796761111</v>
      </c>
      <c r="J45" s="5">
        <f t="shared" si="35"/>
        <v>360294.4645949597</v>
      </c>
      <c r="K45" s="5">
        <f t="shared" si="36"/>
        <v>634985.1718048713</v>
      </c>
      <c r="L45" s="5">
        <f t="shared" si="37"/>
        <v>2367031.324498872</v>
      </c>
      <c r="M45" s="5">
        <f t="shared" si="38"/>
        <v>4171670.508299711</v>
      </c>
      <c r="N45" s="5">
        <f t="shared" si="39"/>
        <v>15550717.098741872</v>
      </c>
      <c r="O45" s="5">
        <f t="shared" si="40"/>
        <v>102163752.45321253</v>
      </c>
      <c r="Q45" s="5">
        <f t="shared" si="41"/>
        <v>37299.58468650526</v>
      </c>
      <c r="R45" s="5">
        <f t="shared" si="42"/>
        <v>65737.01657347698</v>
      </c>
      <c r="S45" s="5">
        <f t="shared" si="43"/>
        <v>115855.32075763369</v>
      </c>
      <c r="T45" s="5">
        <f t="shared" si="44"/>
        <v>431873.34999289433</v>
      </c>
      <c r="U45" s="5">
        <f t="shared" si="45"/>
        <v>761136.2379698897</v>
      </c>
      <c r="V45" s="5">
        <f t="shared" si="46"/>
        <v>2837284.0776187354</v>
      </c>
      <c r="W45" s="5">
        <f t="shared" si="47"/>
        <v>18640142.8503084</v>
      </c>
    </row>
    <row r="46" spans="1:23" ht="12.75">
      <c r="A46">
        <v>500000</v>
      </c>
      <c r="B46">
        <v>299</v>
      </c>
      <c r="C46">
        <v>211275</v>
      </c>
      <c r="D46" s="2">
        <f>100*SUM(B46:B$51)/$D$37</f>
        <v>1.0728348328926594</v>
      </c>
      <c r="E46" s="2">
        <f>1000*SUM(C46:C$51)/(A46*SUM(B46:B$51))</f>
        <v>4.370265957446809</v>
      </c>
      <c r="F46" s="3">
        <f t="shared" si="32"/>
        <v>1.2967124887549124</v>
      </c>
      <c r="G46" s="4">
        <f t="shared" si="33"/>
        <v>15140.995194819696</v>
      </c>
      <c r="I46" s="5">
        <f t="shared" si="34"/>
        <v>228925.75626932993</v>
      </c>
      <c r="J46" s="5">
        <f t="shared" si="35"/>
        <v>390699.866491732</v>
      </c>
      <c r="K46" s="5">
        <f t="shared" si="36"/>
        <v>666794.2837199566</v>
      </c>
      <c r="L46" s="5">
        <f t="shared" si="37"/>
        <v>2306875.925424458</v>
      </c>
      <c r="M46" s="5">
        <f t="shared" si="38"/>
        <v>3937067.3303180276</v>
      </c>
      <c r="N46" s="5">
        <f t="shared" si="39"/>
        <v>13620881.376511972</v>
      </c>
      <c r="O46" s="5">
        <f t="shared" si="40"/>
        <v>80424095.38730358</v>
      </c>
      <c r="Q46" s="5">
        <f t="shared" si="41"/>
        <v>52382.56858927474</v>
      </c>
      <c r="R46" s="5">
        <f t="shared" si="42"/>
        <v>89399.56293186014</v>
      </c>
      <c r="S46" s="5">
        <f t="shared" si="43"/>
        <v>152575.2185822371</v>
      </c>
      <c r="T46" s="5">
        <f t="shared" si="44"/>
        <v>527857.1024936382</v>
      </c>
      <c r="U46" s="5">
        <f t="shared" si="45"/>
        <v>900875.9120504729</v>
      </c>
      <c r="V46" s="5">
        <f t="shared" si="46"/>
        <v>3116716.810633087</v>
      </c>
      <c r="W46" s="5">
        <f t="shared" si="47"/>
        <v>18402563.178166125</v>
      </c>
    </row>
    <row r="47" spans="1:23" ht="12.75">
      <c r="A47">
        <v>1000000</v>
      </c>
      <c r="B47">
        <v>151</v>
      </c>
      <c r="C47">
        <v>224184</v>
      </c>
      <c r="D47" s="2">
        <f>100*SUM(B47:B$51)/$D$37</f>
        <v>0.5040801963059481</v>
      </c>
      <c r="E47" s="2">
        <f>1000*SUM(C47:C$51)/(A47*SUM(B47:B$51))</f>
        <v>3.8533584905660376</v>
      </c>
      <c r="F47" s="3">
        <f t="shared" si="32"/>
        <v>1.3504641997513689</v>
      </c>
      <c r="G47" s="4">
        <f t="shared" si="33"/>
        <v>19894.492358385014</v>
      </c>
      <c r="I47" s="5">
        <f t="shared" si="34"/>
        <v>252435.1720302857</v>
      </c>
      <c r="J47" s="5">
        <f t="shared" si="35"/>
        <v>421753.21312969754</v>
      </c>
      <c r="K47" s="5">
        <f t="shared" si="36"/>
        <v>704639.4183290891</v>
      </c>
      <c r="L47" s="5">
        <f t="shared" si="37"/>
        <v>2320302.0477040494</v>
      </c>
      <c r="M47" s="5">
        <f t="shared" si="38"/>
        <v>3876618.444965321</v>
      </c>
      <c r="N47" s="5">
        <f t="shared" si="39"/>
        <v>12765288.85844903</v>
      </c>
      <c r="O47" s="5">
        <f t="shared" si="40"/>
        <v>70229046.17133154</v>
      </c>
      <c r="Q47" s="5">
        <f t="shared" si="41"/>
        <v>65510.43009580049</v>
      </c>
      <c r="R47" s="5">
        <f t="shared" si="42"/>
        <v>109450.81132789807</v>
      </c>
      <c r="S47" s="5">
        <f t="shared" si="43"/>
        <v>182863.70708933997</v>
      </c>
      <c r="T47" s="5">
        <f t="shared" si="44"/>
        <v>602150.5793932009</v>
      </c>
      <c r="U47" s="5">
        <f t="shared" si="45"/>
        <v>1006036.2809368061</v>
      </c>
      <c r="V47" s="5">
        <f t="shared" si="46"/>
        <v>3312769.5981833963</v>
      </c>
      <c r="W47" s="5">
        <f t="shared" si="47"/>
        <v>18225412.02519034</v>
      </c>
    </row>
    <row r="48" spans="1:23" ht="12.75">
      <c r="A48">
        <v>2000000</v>
      </c>
      <c r="B48">
        <v>78</v>
      </c>
      <c r="C48">
        <v>226405</v>
      </c>
      <c r="D48" s="2">
        <f>100*SUM(B48:B$51)/$D$37</f>
        <v>0.21684959388255884</v>
      </c>
      <c r="E48" s="2">
        <f>1000*SUM(C48:C$51)/(A48*SUM(B48:B$51))</f>
        <v>3.495421052631579</v>
      </c>
      <c r="F48" s="3">
        <f t="shared" si="32"/>
        <v>1.400733975913779</v>
      </c>
      <c r="G48" s="4">
        <f t="shared" si="33"/>
        <v>25077.438491718753</v>
      </c>
      <c r="J48" s="5">
        <f t="shared" si="35"/>
        <v>453621.99526448664</v>
      </c>
      <c r="K48" s="5">
        <f t="shared" si="36"/>
        <v>744051.2661949318</v>
      </c>
      <c r="L48" s="5">
        <f t="shared" si="37"/>
        <v>2347499.657141163</v>
      </c>
      <c r="M48" s="5">
        <f t="shared" si="38"/>
        <v>3850474.8678900627</v>
      </c>
      <c r="N48" s="5">
        <f t="shared" si="39"/>
        <v>12148340.904556016</v>
      </c>
      <c r="O48" s="5">
        <f t="shared" si="40"/>
        <v>62867820.357016675</v>
      </c>
      <c r="Q48" s="5">
        <f t="shared" si="41"/>
        <v>79119.92215582819</v>
      </c>
      <c r="R48" s="5">
        <f t="shared" si="42"/>
        <v>129776.06658372979</v>
      </c>
      <c r="S48" s="5">
        <f t="shared" si="43"/>
        <v>212864.5605183278</v>
      </c>
      <c r="T48" s="5">
        <f t="shared" si="44"/>
        <v>671592.8129384622</v>
      </c>
      <c r="U48" s="5">
        <f t="shared" si="45"/>
        <v>1101576.8372142683</v>
      </c>
      <c r="V48" s="5">
        <f t="shared" si="46"/>
        <v>3475501.4407806345</v>
      </c>
      <c r="W48" s="5">
        <f t="shared" si="47"/>
        <v>17985764.636190455</v>
      </c>
    </row>
    <row r="49" spans="1:23" ht="12.75">
      <c r="A49">
        <v>5000000</v>
      </c>
      <c r="B49">
        <v>25</v>
      </c>
      <c r="C49">
        <v>178788</v>
      </c>
      <c r="D49" s="2">
        <f>100*SUM(B49:B$51)/$D$37</f>
        <v>0.06847881912080805</v>
      </c>
      <c r="E49" s="2">
        <f>1000*SUM(C49:C$51)/(A49*SUM(B49:B$51))</f>
        <v>3.1697277777777777</v>
      </c>
      <c r="F49" s="3">
        <f t="shared" si="32"/>
        <v>1.4608873104920996</v>
      </c>
      <c r="G49" s="4">
        <f t="shared" si="33"/>
        <v>34108.234019146956</v>
      </c>
      <c r="J49" s="5">
        <f t="shared" si="35"/>
        <v>522873.5756132125</v>
      </c>
      <c r="K49" s="5">
        <f t="shared" si="36"/>
        <v>840342.620980265</v>
      </c>
      <c r="L49" s="5">
        <f t="shared" si="37"/>
        <v>2528786.6445978726</v>
      </c>
      <c r="M49" s="5">
        <f t="shared" si="38"/>
        <v>4064170.1855540643</v>
      </c>
      <c r="N49" s="5">
        <f t="shared" si="39"/>
        <v>12230034.547829198</v>
      </c>
      <c r="O49" s="5">
        <f t="shared" si="40"/>
        <v>59148424.150618985</v>
      </c>
      <c r="Q49" s="5">
        <f t="shared" si="41"/>
        <v>102639.61925175665</v>
      </c>
      <c r="R49" s="5">
        <f t="shared" si="42"/>
        <v>164958.51135197075</v>
      </c>
      <c r="S49" s="5">
        <f t="shared" si="43"/>
        <v>265115.07608688396</v>
      </c>
      <c r="T49" s="5">
        <f t="shared" si="44"/>
        <v>797793.0036536912</v>
      </c>
      <c r="U49" s="5">
        <f t="shared" si="45"/>
        <v>1282182.7205626345</v>
      </c>
      <c r="V49" s="5">
        <f t="shared" si="46"/>
        <v>3858386.399479198</v>
      </c>
      <c r="W49" s="5">
        <f t="shared" si="47"/>
        <v>18660411.334151402</v>
      </c>
    </row>
    <row r="50" spans="1:23" ht="12.75">
      <c r="A50">
        <v>10000000</v>
      </c>
      <c r="B50">
        <v>8</v>
      </c>
      <c r="C50">
        <v>141305</v>
      </c>
      <c r="D50" s="2">
        <f>100*SUM(B50:B$51)/$D$37</f>
        <v>0.020924083620246905</v>
      </c>
      <c r="E50" s="2">
        <f>1000*SUM(C50:C$51)/(A50*SUM(B50:B$51))</f>
        <v>3.561481818181818</v>
      </c>
      <c r="F50" s="3">
        <f t="shared" si="32"/>
        <v>1.3903990232926253</v>
      </c>
      <c r="G50" s="4">
        <f t="shared" si="33"/>
        <v>22580.975981728985</v>
      </c>
      <c r="J50" s="5">
        <f t="shared" si="35"/>
        <v>421299.97850518</v>
      </c>
      <c r="K50" s="5">
        <f t="shared" si="36"/>
        <v>693581.7024117492</v>
      </c>
      <c r="L50" s="5">
        <f t="shared" si="37"/>
        <v>2207036.0831568595</v>
      </c>
      <c r="M50" s="5">
        <f t="shared" si="38"/>
        <v>3633420.180251143</v>
      </c>
      <c r="N50" s="5">
        <f t="shared" si="39"/>
        <v>11561852.648650166</v>
      </c>
      <c r="O50" s="5">
        <f t="shared" si="40"/>
        <v>60568305.9236137</v>
      </c>
      <c r="Q50" s="5">
        <f t="shared" si="41"/>
        <v>71854.58989370542</v>
      </c>
      <c r="R50" s="5">
        <f t="shared" si="42"/>
        <v>118293.4519992184</v>
      </c>
      <c r="S50" s="5">
        <f t="shared" si="43"/>
        <v>194745.25992830467</v>
      </c>
      <c r="T50" s="5">
        <f t="shared" si="44"/>
        <v>619696.013016172</v>
      </c>
      <c r="U50" s="5">
        <f t="shared" si="45"/>
        <v>1020198.997423508</v>
      </c>
      <c r="V50" s="5">
        <f t="shared" si="46"/>
        <v>3246360.149762786</v>
      </c>
      <c r="W50" s="5">
        <f t="shared" si="47"/>
        <v>17006490.28008645</v>
      </c>
    </row>
    <row r="51" spans="1:23" ht="12.75">
      <c r="A51">
        <v>50000000</v>
      </c>
      <c r="B51">
        <v>3</v>
      </c>
      <c r="C51">
        <v>250458</v>
      </c>
      <c r="D51" s="2">
        <f>100*SUM(B51:B$51)/$D$37</f>
        <v>0.005706568260067338</v>
      </c>
      <c r="E51" s="2">
        <f>1000*SUM(C51:C$51)/(A51*SUM(B51:B$51))</f>
        <v>1.66972</v>
      </c>
      <c r="F51" s="3">
        <f t="shared" si="32"/>
        <v>2.493161321149137</v>
      </c>
      <c r="G51" s="4">
        <f t="shared" si="33"/>
        <v>992804.9829989448</v>
      </c>
      <c r="J51" s="5">
        <f t="shared" si="35"/>
        <v>4174503.0953815836</v>
      </c>
      <c r="K51" s="5">
        <f t="shared" si="36"/>
        <v>5512480.583461435</v>
      </c>
      <c r="L51" s="5">
        <f t="shared" si="37"/>
        <v>10512402.4157143</v>
      </c>
      <c r="M51" s="5">
        <f t="shared" si="38"/>
        <v>13881751.403243622</v>
      </c>
      <c r="N51" s="5">
        <f t="shared" si="39"/>
        <v>26472756.643102758</v>
      </c>
      <c r="O51" s="5">
        <f t="shared" si="40"/>
        <v>66664765.72827453</v>
      </c>
      <c r="Q51" s="5">
        <f t="shared" si="41"/>
        <v>1893297.4626565988</v>
      </c>
      <c r="R51" s="5">
        <f t="shared" si="42"/>
        <v>2500121.634394739</v>
      </c>
      <c r="S51" s="5">
        <f t="shared" si="43"/>
        <v>3301440.1117920573</v>
      </c>
      <c r="T51" s="5">
        <f t="shared" si="44"/>
        <v>6295907.347168566</v>
      </c>
      <c r="U51" s="5">
        <f t="shared" si="45"/>
        <v>8313819.923845687</v>
      </c>
      <c r="V51" s="5">
        <f t="shared" si="46"/>
        <v>15854608.343376586</v>
      </c>
      <c r="W51" s="5">
        <f t="shared" si="47"/>
        <v>39925715.526120864</v>
      </c>
    </row>
    <row r="52" spans="1:23" ht="12.75">
      <c r="A52" t="s">
        <v>18</v>
      </c>
      <c r="B52">
        <v>15726</v>
      </c>
      <c r="C52">
        <v>1751886</v>
      </c>
      <c r="H52" t="s">
        <v>19</v>
      </c>
      <c r="I52" s="5">
        <f>I41</f>
        <v>166301.98661845995</v>
      </c>
      <c r="J52" s="4">
        <f>J42</f>
        <v>326906.77878676535</v>
      </c>
      <c r="K52" s="4">
        <f>K43</f>
        <v>618715.7081973053</v>
      </c>
      <c r="L52" s="4">
        <f>L46</f>
        <v>2306875.925424458</v>
      </c>
      <c r="M52" s="4">
        <f>M47</f>
        <v>3876618.444965321</v>
      </c>
      <c r="N52" s="4">
        <f>N48</f>
        <v>12148340.904556016</v>
      </c>
      <c r="O52" s="4">
        <f>O50</f>
        <v>60568305.9236137</v>
      </c>
      <c r="Q52" s="5">
        <f>Q41</f>
        <v>1894.620794052278</v>
      </c>
      <c r="R52" s="4">
        <f>R42</f>
        <v>11533.509553901864</v>
      </c>
      <c r="S52" s="4">
        <f>S43</f>
        <v>57576.62809208755</v>
      </c>
      <c r="T52" s="4">
        <f>T46</f>
        <v>527857.1024936382</v>
      </c>
      <c r="U52" s="4">
        <f>U47</f>
        <v>1006036.2809368061</v>
      </c>
      <c r="V52" s="4">
        <f>V48</f>
        <v>3475501.4407806345</v>
      </c>
      <c r="W52" s="4">
        <f>W50</f>
        <v>17006490.28008645</v>
      </c>
    </row>
    <row r="53" spans="1:3" ht="12.75">
      <c r="A53" t="s">
        <v>20</v>
      </c>
      <c r="B53">
        <f>B52-SUM(B39:B51)</f>
        <v>0</v>
      </c>
      <c r="C53">
        <f>C52-SUM(C39:C51)</f>
        <v>2</v>
      </c>
    </row>
    <row r="56" spans="1:4" ht="12.75">
      <c r="A56" s="1">
        <v>1905</v>
      </c>
      <c r="D56">
        <v>54126</v>
      </c>
    </row>
    <row r="57" spans="1:23" ht="12.75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49</v>
      </c>
      <c r="J57" t="s">
        <v>11</v>
      </c>
      <c r="K57" t="s">
        <v>12</v>
      </c>
      <c r="L57" t="s">
        <v>13</v>
      </c>
      <c r="M57" t="s">
        <v>14</v>
      </c>
      <c r="N57" t="s">
        <v>15</v>
      </c>
      <c r="O57" t="s">
        <v>16</v>
      </c>
      <c r="P57" t="s">
        <v>17</v>
      </c>
      <c r="Q57" t="s">
        <v>49</v>
      </c>
      <c r="R57" t="s">
        <v>11</v>
      </c>
      <c r="S57" t="s">
        <v>12</v>
      </c>
      <c r="T57" t="s">
        <v>13</v>
      </c>
      <c r="U57" t="s">
        <v>14</v>
      </c>
      <c r="V57" t="s">
        <v>15</v>
      </c>
      <c r="W57" t="s">
        <v>16</v>
      </c>
    </row>
    <row r="58" spans="1:23" ht="12.75">
      <c r="A58">
        <v>1</v>
      </c>
      <c r="B58">
        <v>2741</v>
      </c>
      <c r="C58">
        <v>662</v>
      </c>
      <c r="D58" s="2">
        <f>100*SUM(B58:B$70)/$D$56</f>
        <v>30.617448176477108</v>
      </c>
      <c r="E58" s="2">
        <f>1000*SUM(C58:C$70)/(A58*SUM(B58:B$70))</f>
        <v>120170.04586048757</v>
      </c>
      <c r="F58" s="3">
        <f>E58/(E58-1)</f>
        <v>1.0000083216105515</v>
      </c>
      <c r="G58" s="4">
        <f>(A58)*(D58/100)^(1/F58)</f>
        <v>0.30617749740765304</v>
      </c>
      <c r="I58" s="5">
        <f>$E58*$G58/(0.2^(1/$F58))</f>
        <v>183964.3556727728</v>
      </c>
      <c r="J58" s="5">
        <f>$E58*$G58/(0.1^(1/$F58))</f>
        <v>367926.5891193986</v>
      </c>
      <c r="K58" s="5">
        <f>$E58*$G58/(0.05^(1/$F58))</f>
        <v>735848.9338109854</v>
      </c>
      <c r="L58" s="5">
        <f>$E58*$G58/(0.01^(1/$F58))</f>
        <v>3679195.393246101</v>
      </c>
      <c r="M58" s="5">
        <f>$E58*$G58/(0.005^(1/$F58))</f>
        <v>7358348.343027354</v>
      </c>
      <c r="N58" s="5">
        <f>$E58*$G58/(0.001^(1/$F58))</f>
        <v>36791248.966490224</v>
      </c>
      <c r="O58" s="5">
        <f>$E58*$G58/(0.0001^(1/$F58))</f>
        <v>367905440.14027137</v>
      </c>
      <c r="Q58" s="5">
        <f>$G58/(0.2^(1/$F58))</f>
        <v>1.5308669839932303</v>
      </c>
      <c r="R58" s="5">
        <f>$G58/(0.1^(1/$F58))</f>
        <v>3.0617163077939242</v>
      </c>
      <c r="S58" s="5">
        <f>$G58/(0.05^(1/$F58))</f>
        <v>6.123397295406505</v>
      </c>
      <c r="T58" s="5">
        <f>$G58/(0.01^(1/$F58))</f>
        <v>30.61657642635415</v>
      </c>
      <c r="U58" s="5">
        <f>$G58/(0.005^(1/$F58))</f>
        <v>61.232799657662525</v>
      </c>
      <c r="V58" s="5">
        <f>$G58/(0.001^(1/$F58))</f>
        <v>306.15989786009845</v>
      </c>
      <c r="W58" s="5">
        <f>$G58/(0.0001^(1/$F58))</f>
        <v>3061.5403156906027</v>
      </c>
    </row>
    <row r="59" spans="1:23" ht="12.75">
      <c r="A59">
        <v>500</v>
      </c>
      <c r="B59">
        <v>3258</v>
      </c>
      <c r="C59">
        <v>3751</v>
      </c>
      <c r="D59" s="2">
        <f>100*SUM(B59:B$70)/$D$56</f>
        <v>25.55333850644792</v>
      </c>
      <c r="E59" s="2">
        <f>1000*SUM(C59:C$70)/(A59*SUM(B59:B$70))</f>
        <v>287.8744848528668</v>
      </c>
      <c r="F59" s="3">
        <f aca="true" t="shared" si="48" ref="F59:F70">E59/(E59-1)</f>
        <v>1.0034858450395576</v>
      </c>
      <c r="G59" s="4">
        <f aca="true" t="shared" si="49" ref="G59:G70">(A59)*(D59/100)^(1/F59)</f>
        <v>128.3736894493058</v>
      </c>
      <c r="I59" s="5">
        <f aca="true" t="shared" si="50" ref="I59:I70">$E59*$G59/(0.2^(1/$F59))</f>
        <v>183747.3835679661</v>
      </c>
      <c r="J59" s="5">
        <f aca="true" t="shared" si="51" ref="J59:J70">$E59*$G59/(0.1^(1/$F59))</f>
        <v>366610.9738414093</v>
      </c>
      <c r="K59" s="5">
        <f aca="true" t="shared" si="52" ref="K59:K70">$E59*$G59/(0.05^(1/$F59))</f>
        <v>731458.6119874307</v>
      </c>
      <c r="L59" s="5">
        <f aca="true" t="shared" si="53" ref="L59:L70">$E59*$G59/(0.01^(1/$F59))</f>
        <v>3636903.0535189407</v>
      </c>
      <c r="M59" s="5">
        <f aca="true" t="shared" si="54" ref="M59:M70">$E59*$G59/(0.005^(1/$F59))</f>
        <v>7256313.229212273</v>
      </c>
      <c r="N59" s="5">
        <f aca="true" t="shared" si="55" ref="N59:N70">$E59*$G59/(0.001^(1/$F59))</f>
        <v>36079290.48631599</v>
      </c>
      <c r="O59" s="5">
        <f aca="true" t="shared" si="56" ref="O59:O70">$E59*$G59/(0.0001^(1/$F59))</f>
        <v>357918587.00673276</v>
      </c>
      <c r="Q59" s="5">
        <f aca="true" t="shared" si="57" ref="Q59:Q70">$G59/(0.2^(1/$F59))</f>
        <v>638.2899257705308</v>
      </c>
      <c r="R59" s="5">
        <f aca="true" t="shared" si="58" ref="R59:R70">$G59/(0.1^(1/$F59))</f>
        <v>1273.5097868391667</v>
      </c>
      <c r="S59" s="5">
        <f aca="true" t="shared" si="59" ref="S59:S70">$G59/(0.05^(1/$F59))</f>
        <v>2540.894210757444</v>
      </c>
      <c r="T59" s="5">
        <f aca="true" t="shared" si="60" ref="T59:T70">$G59/(0.01^(1/$F59))</f>
        <v>12633.64155172616</v>
      </c>
      <c r="U59" s="5">
        <f aca="true" t="shared" si="61" ref="U59:U70">$G59/(0.005^(1/$F59))</f>
        <v>25206.51746166733</v>
      </c>
      <c r="V59" s="5">
        <f aca="true" t="shared" si="62" ref="V59:V70">$G59/(0.001^(1/$F59))</f>
        <v>125329.93504011369</v>
      </c>
      <c r="W59" s="5">
        <f aca="true" t="shared" si="63" ref="W59:W70">$G59/(0.0001^(1/$F59))</f>
        <v>1243314.7286035635</v>
      </c>
    </row>
    <row r="60" spans="1:23" ht="12.75">
      <c r="A60">
        <v>2000</v>
      </c>
      <c r="B60">
        <v>4141</v>
      </c>
      <c r="C60">
        <v>22269</v>
      </c>
      <c r="D60" s="2">
        <f>100*SUM(B60:B$70)/$D$56</f>
        <v>19.53405017921147</v>
      </c>
      <c r="E60" s="2">
        <f>1000*SUM(C60:C$70)/(A60*SUM(B60:B$70))</f>
        <v>93.96788990825688</v>
      </c>
      <c r="F60" s="3">
        <f t="shared" si="48"/>
        <v>1.0107564020328612</v>
      </c>
      <c r="G60" s="4">
        <f t="shared" si="49"/>
        <v>397.5297500123016</v>
      </c>
      <c r="I60" s="5">
        <f t="shared" si="50"/>
        <v>183603.4013907301</v>
      </c>
      <c r="J60" s="5">
        <f t="shared" si="51"/>
        <v>364508.09464352607</v>
      </c>
      <c r="K60" s="5">
        <f t="shared" si="52"/>
        <v>723658.4401718063</v>
      </c>
      <c r="L60" s="5">
        <f t="shared" si="53"/>
        <v>3556847.4905192005</v>
      </c>
      <c r="M60" s="5">
        <f t="shared" si="54"/>
        <v>7061414.395845829</v>
      </c>
      <c r="N60" s="5">
        <f t="shared" si="55"/>
        <v>34707498.288028575</v>
      </c>
      <c r="O60" s="5">
        <f t="shared" si="56"/>
        <v>338673626.1884723</v>
      </c>
      <c r="Q60" s="5">
        <f t="shared" si="57"/>
        <v>1953.8951185344965</v>
      </c>
      <c r="R60" s="5">
        <f t="shared" si="58"/>
        <v>3879.0707655498504</v>
      </c>
      <c r="S60" s="5">
        <f t="shared" si="59"/>
        <v>7701.124723331889</v>
      </c>
      <c r="T60" s="5">
        <f t="shared" si="60"/>
        <v>37851.73311853481</v>
      </c>
      <c r="U60" s="5">
        <f t="shared" si="61"/>
        <v>75147.09974588189</v>
      </c>
      <c r="V60" s="5">
        <f t="shared" si="62"/>
        <v>369354.8756060644</v>
      </c>
      <c r="W60" s="5">
        <f t="shared" si="63"/>
        <v>3604142.080014008</v>
      </c>
    </row>
    <row r="61" spans="1:23" ht="12.75">
      <c r="A61">
        <v>10000</v>
      </c>
      <c r="B61">
        <v>3356</v>
      </c>
      <c r="C61">
        <v>84352</v>
      </c>
      <c r="D61" s="2">
        <f>100*SUM(B61:B$70)/$D$56</f>
        <v>11.883383216938256</v>
      </c>
      <c r="E61" s="2">
        <f>1000*SUM(C61:C$70)/(A61*SUM(B61:B$70))</f>
        <v>30.546890547263683</v>
      </c>
      <c r="F61" s="3">
        <f t="shared" si="48"/>
        <v>1.0338445088968122</v>
      </c>
      <c r="G61" s="4">
        <f t="shared" si="49"/>
        <v>1274.1582714626686</v>
      </c>
      <c r="I61" s="5">
        <f t="shared" si="50"/>
        <v>184619.90372636178</v>
      </c>
      <c r="J61" s="5">
        <f t="shared" si="51"/>
        <v>360955.6385943598</v>
      </c>
      <c r="K61" s="5">
        <f t="shared" si="52"/>
        <v>705714.6624134992</v>
      </c>
      <c r="L61" s="5">
        <f t="shared" si="53"/>
        <v>3347474.4756215415</v>
      </c>
      <c r="M61" s="5">
        <f t="shared" si="54"/>
        <v>6544742.807455828</v>
      </c>
      <c r="N61" s="5">
        <f t="shared" si="55"/>
        <v>31044217.534804914</v>
      </c>
      <c r="O61" s="5">
        <f t="shared" si="56"/>
        <v>287901655.22303003</v>
      </c>
      <c r="Q61" s="5">
        <f t="shared" si="57"/>
        <v>6043.819859200025</v>
      </c>
      <c r="R61" s="5">
        <f t="shared" si="58"/>
        <v>11816.444558763555</v>
      </c>
      <c r="S61" s="5">
        <f t="shared" si="59"/>
        <v>23102.66772723011</v>
      </c>
      <c r="T61" s="5">
        <f t="shared" si="60"/>
        <v>109584.78639395918</v>
      </c>
      <c r="U61" s="5">
        <f t="shared" si="61"/>
        <v>214252.34091599187</v>
      </c>
      <c r="V61" s="5">
        <f t="shared" si="62"/>
        <v>1016280.772891491</v>
      </c>
      <c r="W61" s="5">
        <f t="shared" si="63"/>
        <v>9424908.724427259</v>
      </c>
    </row>
    <row r="62" spans="1:23" ht="12.75">
      <c r="A62">
        <v>50000</v>
      </c>
      <c r="B62">
        <v>986</v>
      </c>
      <c r="C62">
        <v>72348</v>
      </c>
      <c r="D62" s="2">
        <f>100*SUM(B62:B$70)/$D$56</f>
        <v>5.683035879244725</v>
      </c>
      <c r="E62" s="2">
        <f>1000*SUM(C62:C$70)/(A62*SUM(B62:B$70))</f>
        <v>12.226423927178153</v>
      </c>
      <c r="F62" s="3">
        <f t="shared" si="48"/>
        <v>1.0890755601682822</v>
      </c>
      <c r="G62" s="4">
        <f t="shared" si="49"/>
        <v>3592.6371105926087</v>
      </c>
      <c r="I62" s="5">
        <f t="shared" si="50"/>
        <v>192536.913011409</v>
      </c>
      <c r="J62" s="5">
        <f t="shared" si="51"/>
        <v>363850.2999946245</v>
      </c>
      <c r="K62" s="5">
        <f t="shared" si="52"/>
        <v>687593.0372807707</v>
      </c>
      <c r="L62" s="5">
        <f t="shared" si="53"/>
        <v>3013926.6103893775</v>
      </c>
      <c r="M62" s="5">
        <f t="shared" si="54"/>
        <v>5695625.239857122</v>
      </c>
      <c r="N62" s="5">
        <f t="shared" si="55"/>
        <v>24965634.528671283</v>
      </c>
      <c r="O62" s="5">
        <f t="shared" si="56"/>
        <v>206800957.02086794</v>
      </c>
      <c r="Q62" s="5">
        <f t="shared" si="57"/>
        <v>15747.606508508028</v>
      </c>
      <c r="R62" s="5">
        <f t="shared" si="58"/>
        <v>29759.339457044392</v>
      </c>
      <c r="S62" s="5">
        <f t="shared" si="59"/>
        <v>56238.278778500244</v>
      </c>
      <c r="T62" s="5">
        <f t="shared" si="60"/>
        <v>246509.2514655664</v>
      </c>
      <c r="U62" s="5">
        <f t="shared" si="61"/>
        <v>465845.5549865485</v>
      </c>
      <c r="V62" s="5">
        <f t="shared" si="62"/>
        <v>2041940.8550995113</v>
      </c>
      <c r="W62" s="5">
        <f t="shared" si="63"/>
        <v>16914263.586196247</v>
      </c>
    </row>
    <row r="63" spans="1:23" ht="12.75">
      <c r="A63">
        <v>100000</v>
      </c>
      <c r="B63">
        <v>984</v>
      </c>
      <c r="C63">
        <v>165064</v>
      </c>
      <c r="D63" s="2">
        <f>100*SUM(B63:B$70)/$D$56</f>
        <v>3.8613605291357205</v>
      </c>
      <c r="E63" s="2">
        <f>1000*SUM(C63:C$70)/(A63*SUM(B63:B$70))</f>
        <v>8.651081339712919</v>
      </c>
      <c r="F63" s="3">
        <f t="shared" si="48"/>
        <v>1.1307004795269269</v>
      </c>
      <c r="G63" s="4">
        <f t="shared" si="49"/>
        <v>5624.7412541662825</v>
      </c>
      <c r="I63" s="5">
        <f t="shared" si="50"/>
        <v>201998.09246144877</v>
      </c>
      <c r="J63" s="5">
        <f t="shared" si="51"/>
        <v>372889.76090258185</v>
      </c>
      <c r="K63" s="5">
        <f t="shared" si="52"/>
        <v>688356.8656101133</v>
      </c>
      <c r="L63" s="5">
        <f t="shared" si="53"/>
        <v>2857511.403224979</v>
      </c>
      <c r="M63" s="5">
        <f t="shared" si="54"/>
        <v>5274984.188914168</v>
      </c>
      <c r="N63" s="5">
        <f t="shared" si="55"/>
        <v>21897547.95035525</v>
      </c>
      <c r="O63" s="5">
        <f t="shared" si="56"/>
        <v>167804266.92153943</v>
      </c>
      <c r="Q63" s="5">
        <f t="shared" si="57"/>
        <v>23349.461706500606</v>
      </c>
      <c r="R63" s="5">
        <f t="shared" si="58"/>
        <v>43103.25452505294</v>
      </c>
      <c r="S63" s="5">
        <f t="shared" si="59"/>
        <v>79568.88145880685</v>
      </c>
      <c r="T63" s="5">
        <f t="shared" si="60"/>
        <v>330306.8473194825</v>
      </c>
      <c r="U63" s="5">
        <f t="shared" si="61"/>
        <v>609748.5368331093</v>
      </c>
      <c r="V63" s="5">
        <f t="shared" si="62"/>
        <v>2531192.0083139464</v>
      </c>
      <c r="W63" s="5">
        <f t="shared" si="63"/>
        <v>19396912.40113897</v>
      </c>
    </row>
    <row r="64" spans="1:23" ht="12.75">
      <c r="A64">
        <v>250000</v>
      </c>
      <c r="B64">
        <v>496</v>
      </c>
      <c r="C64">
        <v>179088</v>
      </c>
      <c r="D64" s="2">
        <f>100*SUM(B64:B$70)/$D$56</f>
        <v>2.0433802608727785</v>
      </c>
      <c r="E64" s="2">
        <f>1000*SUM(C64:C$70)/(A64*SUM(B64:B$70))</f>
        <v>5.942177215189873</v>
      </c>
      <c r="F64" s="3">
        <f t="shared" si="48"/>
        <v>1.2023399721334318</v>
      </c>
      <c r="G64" s="4">
        <f t="shared" si="49"/>
        <v>9831.911857489788</v>
      </c>
      <c r="I64" s="5">
        <f t="shared" si="50"/>
        <v>222805.02304474908</v>
      </c>
      <c r="J64" s="5">
        <f t="shared" si="51"/>
        <v>396547.3860100876</v>
      </c>
      <c r="K64" s="5">
        <f t="shared" si="52"/>
        <v>705773.2684951663</v>
      </c>
      <c r="L64" s="5">
        <f t="shared" si="53"/>
        <v>2691575.748574235</v>
      </c>
      <c r="M64" s="5">
        <f t="shared" si="54"/>
        <v>4790454.50932625</v>
      </c>
      <c r="N64" s="5">
        <f t="shared" si="55"/>
        <v>18269140.75315241</v>
      </c>
      <c r="O64" s="5">
        <f t="shared" si="56"/>
        <v>124002270.43035755</v>
      </c>
      <c r="Q64" s="5">
        <f t="shared" si="57"/>
        <v>37495.519735627684</v>
      </c>
      <c r="R64" s="5">
        <f t="shared" si="58"/>
        <v>66734.35874588208</v>
      </c>
      <c r="S64" s="5">
        <f t="shared" si="59"/>
        <v>118773.51397245638</v>
      </c>
      <c r="T64" s="5">
        <f t="shared" si="60"/>
        <v>452961.20447128563</v>
      </c>
      <c r="U64" s="5">
        <f t="shared" si="61"/>
        <v>806178.3309121956</v>
      </c>
      <c r="V64" s="5">
        <f t="shared" si="62"/>
        <v>3074486.016076962</v>
      </c>
      <c r="W64" s="5">
        <f t="shared" si="63"/>
        <v>20868154.203373965</v>
      </c>
    </row>
    <row r="65" spans="1:23" ht="12.75">
      <c r="A65">
        <v>500000</v>
      </c>
      <c r="B65">
        <v>319</v>
      </c>
      <c r="C65">
        <v>225230</v>
      </c>
      <c r="D65" s="2">
        <f>100*SUM(B65:B$70)/$D$56</f>
        <v>1.1269999630491816</v>
      </c>
      <c r="E65" s="2">
        <f>1000*SUM(C65:C$70)/(A65*SUM(B65:B$70))</f>
        <v>4.7997508196721315</v>
      </c>
      <c r="F65" s="3">
        <f t="shared" si="48"/>
        <v>1.2631751521238666</v>
      </c>
      <c r="G65" s="4">
        <f t="shared" si="49"/>
        <v>14347.101244201613</v>
      </c>
      <c r="I65" s="5">
        <f t="shared" si="50"/>
        <v>246221.82618818607</v>
      </c>
      <c r="J65" s="5">
        <f t="shared" si="51"/>
        <v>426224.790008443</v>
      </c>
      <c r="K65" s="5">
        <f t="shared" si="52"/>
        <v>737820.746560842</v>
      </c>
      <c r="L65" s="5">
        <f t="shared" si="53"/>
        <v>2638120.061171921</v>
      </c>
      <c r="M65" s="5">
        <f t="shared" si="54"/>
        <v>4566744.494172769</v>
      </c>
      <c r="N65" s="5">
        <f t="shared" si="55"/>
        <v>16328654.785705633</v>
      </c>
      <c r="O65" s="5">
        <f t="shared" si="56"/>
        <v>101066274.82007234</v>
      </c>
      <c r="Q65" s="5">
        <f t="shared" si="57"/>
        <v>51298.8768456537</v>
      </c>
      <c r="R65" s="5">
        <f t="shared" si="58"/>
        <v>88801.44116263898</v>
      </c>
      <c r="S65" s="5">
        <f t="shared" si="59"/>
        <v>153720.63556650263</v>
      </c>
      <c r="T65" s="5">
        <f t="shared" si="60"/>
        <v>549636.8791395153</v>
      </c>
      <c r="U65" s="5">
        <f t="shared" si="61"/>
        <v>951454.4953991425</v>
      </c>
      <c r="V65" s="5">
        <f t="shared" si="62"/>
        <v>3401979.685858158</v>
      </c>
      <c r="W65" s="5">
        <f t="shared" si="63"/>
        <v>21056567.021322187</v>
      </c>
    </row>
    <row r="66" spans="1:23" ht="12.75">
      <c r="A66">
        <v>1000000</v>
      </c>
      <c r="B66">
        <v>171</v>
      </c>
      <c r="C66">
        <v>242045</v>
      </c>
      <c r="D66" s="2">
        <f>100*SUM(B66:B$70)/$D$56</f>
        <v>0.5376344086021505</v>
      </c>
      <c r="E66" s="2">
        <f>1000*SUM(C66:C$70)/(A66*SUM(B66:B$70))</f>
        <v>4.256680412371134</v>
      </c>
      <c r="F66" s="3">
        <f t="shared" si="48"/>
        <v>1.3070611399882242</v>
      </c>
      <c r="G66" s="4">
        <f t="shared" si="49"/>
        <v>18350.674836877184</v>
      </c>
      <c r="I66" s="5">
        <f t="shared" si="50"/>
        <v>267600.95990175416</v>
      </c>
      <c r="J66" s="5">
        <f t="shared" si="51"/>
        <v>454776.732021138</v>
      </c>
      <c r="K66" s="5">
        <f t="shared" si="52"/>
        <v>772874.1932157405</v>
      </c>
      <c r="L66" s="5">
        <f t="shared" si="53"/>
        <v>2647728.122631321</v>
      </c>
      <c r="M66" s="5">
        <f t="shared" si="54"/>
        <v>4499704.1241287505</v>
      </c>
      <c r="N66" s="5">
        <f t="shared" si="55"/>
        <v>15415177.86148948</v>
      </c>
      <c r="O66" s="5">
        <f t="shared" si="56"/>
        <v>89747775.26070166</v>
      </c>
      <c r="Q66" s="5">
        <f t="shared" si="57"/>
        <v>62866.114901186615</v>
      </c>
      <c r="R66" s="5">
        <f t="shared" si="58"/>
        <v>106838.35476570578</v>
      </c>
      <c r="S66" s="5">
        <f t="shared" si="59"/>
        <v>181567.35257116004</v>
      </c>
      <c r="T66" s="5">
        <f t="shared" si="60"/>
        <v>622017.1274630494</v>
      </c>
      <c r="U66" s="5">
        <f t="shared" si="61"/>
        <v>1057092.3086100896</v>
      </c>
      <c r="V66" s="5">
        <f t="shared" si="62"/>
        <v>3621408.320128651</v>
      </c>
      <c r="W66" s="5">
        <f t="shared" si="63"/>
        <v>21083982.48547598</v>
      </c>
    </row>
    <row r="67" spans="1:23" ht="12.75">
      <c r="A67">
        <v>2000000</v>
      </c>
      <c r="B67">
        <v>83</v>
      </c>
      <c r="C67">
        <v>250116</v>
      </c>
      <c r="D67" s="2">
        <f>100*SUM(B67:B$70)/$D$56</f>
        <v>0.2217049107637734</v>
      </c>
      <c r="E67" s="2">
        <f>1000*SUM(C67:C$70)/(A67*SUM(B67:B$70))</f>
        <v>4.152704166666667</v>
      </c>
      <c r="F67" s="3">
        <f t="shared" si="48"/>
        <v>1.3171880224516255</v>
      </c>
      <c r="G67" s="4">
        <f t="shared" si="49"/>
        <v>19317.95029503697</v>
      </c>
      <c r="I67" s="5">
        <f t="shared" si="50"/>
        <v>272235.7846984974</v>
      </c>
      <c r="J67" s="5">
        <f t="shared" si="51"/>
        <v>460770.95353047154</v>
      </c>
      <c r="K67" s="5">
        <f t="shared" si="52"/>
        <v>779874.9596880306</v>
      </c>
      <c r="L67" s="5">
        <f t="shared" si="53"/>
        <v>2646538.0953547833</v>
      </c>
      <c r="M67" s="5">
        <f t="shared" si="54"/>
        <v>4479381.294791524</v>
      </c>
      <c r="N67" s="5">
        <f t="shared" si="55"/>
        <v>15200966.633199308</v>
      </c>
      <c r="O67" s="5">
        <f t="shared" si="56"/>
        <v>87310054.96924931</v>
      </c>
      <c r="Q67" s="5">
        <f t="shared" si="57"/>
        <v>65556.2673796285</v>
      </c>
      <c r="R67" s="5">
        <f t="shared" si="58"/>
        <v>110956.84523569798</v>
      </c>
      <c r="S67" s="5">
        <f t="shared" si="59"/>
        <v>187799.3057988593</v>
      </c>
      <c r="T67" s="5">
        <f t="shared" si="60"/>
        <v>637304.7511061045</v>
      </c>
      <c r="U67" s="5">
        <f t="shared" si="61"/>
        <v>1078666.1209211724</v>
      </c>
      <c r="V67" s="5">
        <f t="shared" si="62"/>
        <v>3660498.321844334</v>
      </c>
      <c r="W67" s="5">
        <f t="shared" si="63"/>
        <v>21024867.52369172</v>
      </c>
    </row>
    <row r="68" spans="1:23" ht="12.75">
      <c r="A68">
        <v>5000000</v>
      </c>
      <c r="B68">
        <v>26</v>
      </c>
      <c r="C68">
        <v>176533</v>
      </c>
      <c r="D68" s="2">
        <f>100*SUM(B68:B$70)/$D$56</f>
        <v>0.06835901415216347</v>
      </c>
      <c r="E68" s="2">
        <f>1000*SUM(C68:C$70)/(A68*SUM(B68:B$70))</f>
        <v>4.035313513513514</v>
      </c>
      <c r="F68" s="3">
        <f t="shared" si="48"/>
        <v>1.3294552590853965</v>
      </c>
      <c r="G68" s="4">
        <f t="shared" si="49"/>
        <v>20803.771589061893</v>
      </c>
      <c r="I68" s="5">
        <f t="shared" si="50"/>
        <v>281692.9996948636</v>
      </c>
      <c r="J68" s="5">
        <f t="shared" si="51"/>
        <v>474468.2310582225</v>
      </c>
      <c r="K68" s="5">
        <f t="shared" si="52"/>
        <v>799168.252414416</v>
      </c>
      <c r="L68" s="5">
        <f t="shared" si="53"/>
        <v>2681605.691768307</v>
      </c>
      <c r="M68" s="5">
        <f t="shared" si="54"/>
        <v>4516749.47672535</v>
      </c>
      <c r="N68" s="5">
        <f t="shared" si="55"/>
        <v>15155933.770498887</v>
      </c>
      <c r="O68" s="5">
        <f t="shared" si="56"/>
        <v>85658502.72501396</v>
      </c>
      <c r="Q68" s="5">
        <f t="shared" si="57"/>
        <v>69806.96760029331</v>
      </c>
      <c r="R68" s="5">
        <f t="shared" si="58"/>
        <v>117579.02563687225</v>
      </c>
      <c r="S68" s="5">
        <f t="shared" si="59"/>
        <v>198043.65874873174</v>
      </c>
      <c r="T68" s="5">
        <f t="shared" si="60"/>
        <v>664534.6595222672</v>
      </c>
      <c r="U68" s="5">
        <f t="shared" si="61"/>
        <v>1119305.7148099144</v>
      </c>
      <c r="V68" s="5">
        <f t="shared" si="62"/>
        <v>3755825.593165063</v>
      </c>
      <c r="W68" s="5">
        <f t="shared" si="63"/>
        <v>21227223.718345445</v>
      </c>
    </row>
    <row r="69" spans="1:23" ht="12.75">
      <c r="A69">
        <v>10000000</v>
      </c>
      <c r="B69">
        <v>8</v>
      </c>
      <c r="C69">
        <v>196360</v>
      </c>
      <c r="D69" s="2">
        <f>100*SUM(B69:B$70)/$D$56</f>
        <v>0.020322950153345898</v>
      </c>
      <c r="E69" s="2">
        <f>1000*SUM(C69:C$70)/(A69*SUM(B69:B$70))</f>
        <v>5.181818181818182</v>
      </c>
      <c r="F69" s="3">
        <f t="shared" si="48"/>
        <v>1.2391304347826086</v>
      </c>
      <c r="G69" s="4">
        <f t="shared" si="49"/>
        <v>10482.878124772378</v>
      </c>
      <c r="I69" s="5">
        <f t="shared" si="50"/>
        <v>199087.39467492406</v>
      </c>
      <c r="J69" s="5">
        <f t="shared" si="51"/>
        <v>348321.47522231407</v>
      </c>
      <c r="K69" s="5">
        <f t="shared" si="52"/>
        <v>609420.0504213589</v>
      </c>
      <c r="L69" s="5">
        <f t="shared" si="53"/>
        <v>2233560.882044233</v>
      </c>
      <c r="M69" s="5">
        <f t="shared" si="54"/>
        <v>3907817.5828401274</v>
      </c>
      <c r="N69" s="5">
        <f t="shared" si="55"/>
        <v>14322384.833189351</v>
      </c>
      <c r="O69" s="5">
        <f t="shared" si="56"/>
        <v>91840213.06919987</v>
      </c>
      <c r="Q69" s="5">
        <f t="shared" si="57"/>
        <v>38420.37441095026</v>
      </c>
      <c r="R69" s="5">
        <f t="shared" si="58"/>
        <v>67219.93381483255</v>
      </c>
      <c r="S69" s="5">
        <f t="shared" si="59"/>
        <v>117607.37815149032</v>
      </c>
      <c r="T69" s="5">
        <f t="shared" si="60"/>
        <v>431038.06495590456</v>
      </c>
      <c r="U69" s="5">
        <f t="shared" si="61"/>
        <v>754140.2352849368</v>
      </c>
      <c r="V69" s="5">
        <f t="shared" si="62"/>
        <v>2763969.0028961906</v>
      </c>
      <c r="W69" s="5">
        <f t="shared" si="63"/>
        <v>17723549.890547346</v>
      </c>
    </row>
    <row r="70" spans="1:23" ht="12.75">
      <c r="A70">
        <v>50000000</v>
      </c>
      <c r="B70">
        <v>3</v>
      </c>
      <c r="C70">
        <v>373640</v>
      </c>
      <c r="D70" s="2">
        <f>100*SUM(B70:B$70)/$D$56</f>
        <v>0.005542622769094336</v>
      </c>
      <c r="E70" s="2">
        <f>1000*SUM(C70:C$70)/(A70*SUM(B70:B$70))</f>
        <v>2.4909333333333334</v>
      </c>
      <c r="F70" s="3">
        <f t="shared" si="48"/>
        <v>1.6707208012877839</v>
      </c>
      <c r="G70" s="4">
        <f t="shared" si="49"/>
        <v>141708.57202221273</v>
      </c>
      <c r="I70" s="5">
        <f t="shared" si="50"/>
        <v>924959.1767112478</v>
      </c>
      <c r="J70" s="5">
        <f t="shared" si="51"/>
        <v>1400561.807389349</v>
      </c>
      <c r="K70" s="5">
        <f t="shared" si="52"/>
        <v>2120713.460341267</v>
      </c>
      <c r="L70" s="5">
        <f t="shared" si="53"/>
        <v>5557075.947963919</v>
      </c>
      <c r="M70" s="5">
        <f t="shared" si="54"/>
        <v>8414456.042431286</v>
      </c>
      <c r="N70" s="5">
        <f t="shared" si="55"/>
        <v>22049075.541336894</v>
      </c>
      <c r="O70" s="5">
        <f t="shared" si="56"/>
        <v>87485169.67915612</v>
      </c>
      <c r="Q70" s="5">
        <f t="shared" si="57"/>
        <v>371330.36213116144</v>
      </c>
      <c r="R70" s="5">
        <f t="shared" si="58"/>
        <v>562263.866578531</v>
      </c>
      <c r="S70" s="5">
        <f t="shared" si="59"/>
        <v>851373.0303264908</v>
      </c>
      <c r="T70" s="5">
        <f t="shared" si="60"/>
        <v>2230921.1866892935</v>
      </c>
      <c r="U70" s="5">
        <f t="shared" si="61"/>
        <v>3378033.4181690738</v>
      </c>
      <c r="V70" s="5">
        <f t="shared" si="62"/>
        <v>8851732.49973379</v>
      </c>
      <c r="W70" s="5">
        <f t="shared" si="63"/>
        <v>35121441.63331929</v>
      </c>
    </row>
    <row r="71" spans="1:23" ht="12.75">
      <c r="A71" t="s">
        <v>18</v>
      </c>
      <c r="B71">
        <v>16572</v>
      </c>
      <c r="C71">
        <v>1991459</v>
      </c>
      <c r="H71" t="s">
        <v>19</v>
      </c>
      <c r="I71" s="4">
        <f>I60</f>
        <v>183603.4013907301</v>
      </c>
      <c r="J71" s="4">
        <f>J61</f>
        <v>360955.6385943598</v>
      </c>
      <c r="K71" s="4">
        <f>K62</f>
        <v>687593.0372807707</v>
      </c>
      <c r="L71" s="4">
        <f>L65</f>
        <v>2638120.061171921</v>
      </c>
      <c r="M71" s="4">
        <f>M66</f>
        <v>4499704.1241287505</v>
      </c>
      <c r="N71" s="4">
        <f>N68</f>
        <v>15155933.770498887</v>
      </c>
      <c r="O71" s="4">
        <f>O69</f>
        <v>91840213.06919987</v>
      </c>
      <c r="Q71" s="4">
        <f>Q60</f>
        <v>1953.8951185344965</v>
      </c>
      <c r="R71" s="4">
        <f>R61</f>
        <v>11816.444558763555</v>
      </c>
      <c r="S71" s="4">
        <f>S62</f>
        <v>56238.278778500244</v>
      </c>
      <c r="T71" s="4">
        <f>T65</f>
        <v>549636.8791395153</v>
      </c>
      <c r="U71" s="4">
        <f>U66</f>
        <v>1057092.3086100896</v>
      </c>
      <c r="V71" s="4">
        <f>V68</f>
        <v>3755825.593165063</v>
      </c>
      <c r="W71" s="4">
        <f>W69</f>
        <v>17723549.890547346</v>
      </c>
    </row>
    <row r="72" spans="1:3" ht="12.75">
      <c r="A72" t="s">
        <v>20</v>
      </c>
      <c r="B72">
        <f>B71-SUM(B58:B70)</f>
        <v>0</v>
      </c>
      <c r="C72">
        <f>C71-SUM(C58:C70)</f>
        <v>1</v>
      </c>
    </row>
    <row r="74" spans="1:4" ht="12.75">
      <c r="A74" s="1">
        <v>1907</v>
      </c>
      <c r="B74" t="s">
        <v>23</v>
      </c>
      <c r="C74" t="s">
        <v>2</v>
      </c>
      <c r="D74">
        <v>58985</v>
      </c>
    </row>
    <row r="75" spans="1:23" ht="12.75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49</v>
      </c>
      <c r="J75" t="s">
        <v>11</v>
      </c>
      <c r="K75" t="s">
        <v>12</v>
      </c>
      <c r="L75" t="s">
        <v>13</v>
      </c>
      <c r="M75" t="s">
        <v>14</v>
      </c>
      <c r="N75" t="s">
        <v>15</v>
      </c>
      <c r="O75" t="s">
        <v>16</v>
      </c>
      <c r="P75" t="s">
        <v>17</v>
      </c>
      <c r="Q75" t="s">
        <v>49</v>
      </c>
      <c r="R75" t="s">
        <v>11</v>
      </c>
      <c r="S75" t="s">
        <v>12</v>
      </c>
      <c r="T75" t="s">
        <v>13</v>
      </c>
      <c r="U75" t="s">
        <v>14</v>
      </c>
      <c r="V75" t="s">
        <v>15</v>
      </c>
      <c r="W75" t="s">
        <v>16</v>
      </c>
    </row>
    <row r="76" spans="1:23" ht="12.75">
      <c r="A76">
        <v>1</v>
      </c>
      <c r="B76">
        <v>2903</v>
      </c>
      <c r="C76">
        <v>680</v>
      </c>
      <c r="D76" s="2">
        <f>100*SUM(B76:B$88)/$D$74</f>
        <v>30.26701703823006</v>
      </c>
      <c r="E76" s="2">
        <f>1000*SUM(C76:C$88)/(A76*SUM(B76:B$88))</f>
        <v>82173.2481935809</v>
      </c>
      <c r="F76" s="3">
        <f>E76/(E76-1)</f>
        <v>1.0000121695587256</v>
      </c>
      <c r="G76" s="4">
        <f>(A76)*(D76/100)^(1/F76)</f>
        <v>0.3026745723899359</v>
      </c>
      <c r="I76" s="5">
        <f>$E76*$G76/(0.2^(1/$F76))</f>
        <v>124356.32813861352</v>
      </c>
      <c r="J76" s="5">
        <f>$E76*$G76/(0.1^(1/$F76))</f>
        <v>248710.55834690086</v>
      </c>
      <c r="K76" s="5">
        <f>$E76*$G76/(0.05^(1/$F76))</f>
        <v>497416.92086854216</v>
      </c>
      <c r="L76" s="5">
        <f>$E76*$G76/(0.01^(1/$F76))</f>
        <v>2487035.893002431</v>
      </c>
      <c r="M76" s="5">
        <f>$E76*$G76/(0.005^(1/$F76))</f>
        <v>4974029.828927966</v>
      </c>
      <c r="N76" s="5">
        <f>$E76*$G76/(0.001^(1/$F76))</f>
        <v>24869662.044886295</v>
      </c>
      <c r="O76" s="5">
        <f>$E76*$G76/(0.0001^(1/$F76))</f>
        <v>248689651.792755</v>
      </c>
      <c r="Q76" s="5">
        <f>$G76/(0.2^(1/$F76))</f>
        <v>1.5133432214540086</v>
      </c>
      <c r="R76" s="5">
        <f>$G76/(0.1^(1/$F76))</f>
        <v>3.0266609123324066</v>
      </c>
      <c r="S76" s="5">
        <f>$G76/(0.05^(1/$F76))</f>
        <v>6.053270763944301</v>
      </c>
      <c r="T76" s="5">
        <f>$G76/(0.01^(1/$F76))</f>
        <v>30.26576103141934</v>
      </c>
      <c r="U76" s="5">
        <f>$G76/(0.005^(1/$F76))</f>
        <v>60.531011469941134</v>
      </c>
      <c r="V76" s="5">
        <f>$G76/(0.001^(1/$F76))</f>
        <v>302.64912963278755</v>
      </c>
      <c r="W76" s="5">
        <f>$G76/(0.0001^(1/$F76))</f>
        <v>3026.4064918901645</v>
      </c>
    </row>
    <row r="77" spans="1:23" ht="12.75">
      <c r="A77">
        <v>500</v>
      </c>
      <c r="B77">
        <v>3505</v>
      </c>
      <c r="C77">
        <v>4147</v>
      </c>
      <c r="D77" s="2">
        <f>100*SUM(B77:B$88)/$D$74</f>
        <v>25.345426803424598</v>
      </c>
      <c r="E77" s="2">
        <f>1000*SUM(C77:C$88)/(A77*SUM(B77:B$88))</f>
        <v>196.16842809364547</v>
      </c>
      <c r="F77" s="3">
        <f aca="true" t="shared" si="64" ref="F77:F88">E77/(E77-1)</f>
        <v>1.0051237795465575</v>
      </c>
      <c r="G77" s="4">
        <f aca="true" t="shared" si="65" ref="G77:G88">(A77)*(D77/100)^(1/F77)</f>
        <v>127.61694106466278</v>
      </c>
      <c r="I77" s="5">
        <f aca="true" t="shared" si="66" ref="I77:I88">$E77*$G77/(0.2^(1/$F77))</f>
        <v>124149.31718968581</v>
      </c>
      <c r="J77" s="5">
        <f aca="true" t="shared" si="67" ref="J77:J88">$E77*$G77/(0.1^(1/$F77))</f>
        <v>247422.83701971473</v>
      </c>
      <c r="K77" s="5">
        <f aca="true" t="shared" si="68" ref="K77:K88">$E77*$G77/(0.05^(1/$F77))</f>
        <v>493100.2575338389</v>
      </c>
      <c r="L77" s="5">
        <f aca="true" t="shared" si="69" ref="L77:L88">$E77*$G77/(0.01^(1/$F77))</f>
        <v>2445356.160590071</v>
      </c>
      <c r="M77" s="5">
        <f aca="true" t="shared" si="70" ref="M77:M88">$E77*$G77/(0.005^(1/$F77))</f>
        <v>4873461.831871421</v>
      </c>
      <c r="N77" s="5">
        <f aca="true" t="shared" si="71" ref="N77:N88">$E77*$G77/(0.001^(1/$F77))</f>
        <v>24168208.65916813</v>
      </c>
      <c r="O77" s="5">
        <f aca="true" t="shared" si="72" ref="O77:O88">$E77*$G77/(0.0001^(1/$F77))</f>
        <v>238861855.46572646</v>
      </c>
      <c r="Q77" s="5">
        <f aca="true" t="shared" si="73" ref="Q77:Q88">$G77/(0.2^(1/$F77))</f>
        <v>632.8710404429622</v>
      </c>
      <c r="R77" s="5">
        <f aca="true" t="shared" si="74" ref="R77:R88">$G77/(0.1^(1/$F77))</f>
        <v>1261.2775634905013</v>
      </c>
      <c r="S77" s="5">
        <f aca="true" t="shared" si="75" ref="S77:S88">$G77/(0.05^(1/$F77))</f>
        <v>2513.657586624726</v>
      </c>
      <c r="T77" s="5">
        <f aca="true" t="shared" si="76" ref="T77:T88">$G77/(0.01^(1/$F77))</f>
        <v>12465.594919396126</v>
      </c>
      <c r="U77" s="5">
        <f aca="true" t="shared" si="77" ref="U77:U88">$G77/(0.005^(1/$F77))</f>
        <v>24843.252704991668</v>
      </c>
      <c r="V77" s="5">
        <f aca="true" t="shared" si="78" ref="V77:V88">$G77/(0.001^(1/$F77))</f>
        <v>123201.31681756092</v>
      </c>
      <c r="W77" s="5">
        <f aca="true" t="shared" si="79" ref="W77:W88">$G77/(0.0001^(1/$F77))</f>
        <v>1217636.5880431093</v>
      </c>
    </row>
    <row r="78" spans="1:23" ht="12.75">
      <c r="A78">
        <v>2000</v>
      </c>
      <c r="B78">
        <v>4360</v>
      </c>
      <c r="C78">
        <v>22815</v>
      </c>
      <c r="D78" s="2">
        <f>100*SUM(B78:B$88)/$D$74</f>
        <v>19.40323811138425</v>
      </c>
      <c r="E78" s="2">
        <f>1000*SUM(C78:C$88)/(A78*SUM(B78:B$88))</f>
        <v>63.87994757536042</v>
      </c>
      <c r="F78" s="3">
        <f t="shared" si="64"/>
        <v>1.01590332114704</v>
      </c>
      <c r="G78" s="4">
        <f t="shared" si="65"/>
        <v>398.15491914583083</v>
      </c>
      <c r="I78" s="5">
        <f t="shared" si="66"/>
        <v>124006.57416054039</v>
      </c>
      <c r="J78" s="5">
        <f t="shared" si="67"/>
        <v>245336.56030431265</v>
      </c>
      <c r="K78" s="5">
        <f t="shared" si="68"/>
        <v>485377.71670096234</v>
      </c>
      <c r="L78" s="5">
        <f t="shared" si="69"/>
        <v>2366507.620394682</v>
      </c>
      <c r="M78" s="5">
        <f t="shared" si="70"/>
        <v>4681935.965507245</v>
      </c>
      <c r="N78" s="5">
        <f t="shared" si="71"/>
        <v>22827247.233104926</v>
      </c>
      <c r="O78" s="5">
        <f t="shared" si="72"/>
        <v>220190804.26810166</v>
      </c>
      <c r="Q78" s="5">
        <f t="shared" si="73"/>
        <v>1941.2441441697713</v>
      </c>
      <c r="R78" s="5">
        <f t="shared" si="74"/>
        <v>3840.5880032209534</v>
      </c>
      <c r="S78" s="5">
        <f t="shared" si="75"/>
        <v>7598.279822135933</v>
      </c>
      <c r="T78" s="5">
        <f t="shared" si="76"/>
        <v>37046.17348977732</v>
      </c>
      <c r="U78" s="5">
        <f t="shared" si="77"/>
        <v>73292.7333727673</v>
      </c>
      <c r="V78" s="5">
        <f t="shared" si="78"/>
        <v>357346.054584268</v>
      </c>
      <c r="W78" s="5">
        <f t="shared" si="79"/>
        <v>3446947.166140646</v>
      </c>
    </row>
    <row r="79" spans="1:23" ht="12.75">
      <c r="A79">
        <v>10000</v>
      </c>
      <c r="B79">
        <v>3677</v>
      </c>
      <c r="C79">
        <v>88199</v>
      </c>
      <c r="D79" s="2">
        <f>100*SUM(B79:B$88)/$D$74</f>
        <v>12.01152835466644</v>
      </c>
      <c r="E79" s="2">
        <f>1000*SUM(C79:C$88)/(A79*SUM(B79:B$88))</f>
        <v>20.316118560338744</v>
      </c>
      <c r="F79" s="3">
        <f t="shared" si="64"/>
        <v>1.0517702351472036</v>
      </c>
      <c r="G79" s="4">
        <f t="shared" si="65"/>
        <v>1333.2214283701826</v>
      </c>
      <c r="I79" s="5">
        <f t="shared" si="66"/>
        <v>125114.69636109933</v>
      </c>
      <c r="J79" s="5">
        <f t="shared" si="67"/>
        <v>241836.04029672692</v>
      </c>
      <c r="K79" s="5">
        <f t="shared" si="68"/>
        <v>467448.4460051345</v>
      </c>
      <c r="L79" s="5">
        <f t="shared" si="69"/>
        <v>2159230.5821736637</v>
      </c>
      <c r="M79" s="5">
        <f t="shared" si="70"/>
        <v>4173608.610881233</v>
      </c>
      <c r="N79" s="5">
        <f t="shared" si="71"/>
        <v>19278667.899431027</v>
      </c>
      <c r="O79" s="5">
        <f t="shared" si="72"/>
        <v>172129386.7570183</v>
      </c>
      <c r="Q79" s="5">
        <f t="shared" si="73"/>
        <v>6158.39565956014</v>
      </c>
      <c r="R79" s="5">
        <f t="shared" si="74"/>
        <v>11903.653720983928</v>
      </c>
      <c r="S79" s="5">
        <f t="shared" si="75"/>
        <v>23008.7476905008</v>
      </c>
      <c r="T79" s="5">
        <f t="shared" si="76"/>
        <v>106281.64901483334</v>
      </c>
      <c r="U79" s="5">
        <f t="shared" si="77"/>
        <v>205433.3655558094</v>
      </c>
      <c r="V79" s="5">
        <f t="shared" si="78"/>
        <v>948934.6029446278</v>
      </c>
      <c r="W79" s="5">
        <f t="shared" si="79"/>
        <v>8472552.778514022</v>
      </c>
    </row>
    <row r="80" spans="1:23" ht="12.75">
      <c r="A80">
        <v>50000</v>
      </c>
      <c r="B80">
        <v>1209</v>
      </c>
      <c r="C80">
        <v>82298</v>
      </c>
      <c r="D80" s="2">
        <f>100*SUM(B80:B$88)/$D$74</f>
        <v>5.777740103416122</v>
      </c>
      <c r="E80" s="2">
        <f>1000*SUM(C80:C$88)/(A80*SUM(B80:B$88))</f>
        <v>7.92956572769953</v>
      </c>
      <c r="F80" s="3">
        <f t="shared" si="64"/>
        <v>1.1443091875155615</v>
      </c>
      <c r="G80" s="4">
        <f t="shared" si="65"/>
        <v>4138.882431730502</v>
      </c>
      <c r="I80" s="5">
        <f t="shared" si="66"/>
        <v>133953.84161719988</v>
      </c>
      <c r="J80" s="5">
        <f t="shared" si="67"/>
        <v>245483.42977157334</v>
      </c>
      <c r="K80" s="5">
        <f t="shared" si="68"/>
        <v>449872.2363232115</v>
      </c>
      <c r="L80" s="5">
        <f t="shared" si="69"/>
        <v>1836165.7041902337</v>
      </c>
      <c r="M80" s="5">
        <f t="shared" si="70"/>
        <v>3364952.0555122197</v>
      </c>
      <c r="N80" s="5">
        <f t="shared" si="71"/>
        <v>13734142.855921729</v>
      </c>
      <c r="O80" s="5">
        <f t="shared" si="72"/>
        <v>102728571.58610961</v>
      </c>
      <c r="Q80" s="5">
        <f t="shared" si="73"/>
        <v>16892.960625734246</v>
      </c>
      <c r="R80" s="5">
        <f t="shared" si="74"/>
        <v>30957.991673371413</v>
      </c>
      <c r="S80" s="5">
        <f t="shared" si="75"/>
        <v>56733.527632127385</v>
      </c>
      <c r="T80" s="5">
        <f t="shared" si="76"/>
        <v>231559.42799946113</v>
      </c>
      <c r="U80" s="5">
        <f t="shared" si="77"/>
        <v>424355.1502143152</v>
      </c>
      <c r="V80" s="5">
        <f t="shared" si="78"/>
        <v>1732017.0268525137</v>
      </c>
      <c r="W80" s="5">
        <f t="shared" si="79"/>
        <v>12955132.11111405</v>
      </c>
    </row>
    <row r="81" spans="1:23" ht="12.75">
      <c r="A81">
        <v>100000</v>
      </c>
      <c r="B81">
        <v>1115</v>
      </c>
      <c r="C81">
        <v>178516</v>
      </c>
      <c r="D81" s="2">
        <f>100*SUM(B81:B$88)/$D$74</f>
        <v>3.7280664575739593</v>
      </c>
      <c r="E81" s="2">
        <f>1000*SUM(C81:C$88)/(A81*SUM(B81:B$88))</f>
        <v>5.770350159163256</v>
      </c>
      <c r="F81" s="3">
        <f t="shared" si="64"/>
        <v>1.209628217349857</v>
      </c>
      <c r="G81" s="4">
        <f t="shared" si="65"/>
        <v>6592.423719191695</v>
      </c>
      <c r="I81" s="5">
        <f t="shared" si="66"/>
        <v>143908.34799443925</v>
      </c>
      <c r="J81" s="5">
        <f t="shared" si="67"/>
        <v>255239.31645927354</v>
      </c>
      <c r="K81" s="5">
        <f t="shared" si="68"/>
        <v>452698.60695721797</v>
      </c>
      <c r="L81" s="5">
        <f t="shared" si="69"/>
        <v>1712568.1564937031</v>
      </c>
      <c r="M81" s="5">
        <f t="shared" si="70"/>
        <v>3037452.1822060086</v>
      </c>
      <c r="N81" s="5">
        <f t="shared" si="71"/>
        <v>11490744.182055587</v>
      </c>
      <c r="O81" s="5">
        <f t="shared" si="72"/>
        <v>77098947.19038567</v>
      </c>
      <c r="Q81" s="5">
        <f t="shared" si="73"/>
        <v>24939.274745036797</v>
      </c>
      <c r="R81" s="5">
        <f t="shared" si="74"/>
        <v>44232.89911686835</v>
      </c>
      <c r="S81" s="5">
        <f t="shared" si="75"/>
        <v>78452.53658278212</v>
      </c>
      <c r="T81" s="5">
        <f t="shared" si="76"/>
        <v>296787.5621506543</v>
      </c>
      <c r="U81" s="5">
        <f t="shared" si="77"/>
        <v>526389.5774821509</v>
      </c>
      <c r="V81" s="5">
        <f t="shared" si="78"/>
        <v>1991342.6161510155</v>
      </c>
      <c r="W81" s="5">
        <f t="shared" si="79"/>
        <v>13361225.066723784</v>
      </c>
    </row>
    <row r="82" spans="1:23" ht="12.75">
      <c r="A82">
        <v>250000</v>
      </c>
      <c r="B82">
        <v>487</v>
      </c>
      <c r="C82">
        <v>171146</v>
      </c>
      <c r="D82" s="2">
        <f>100*SUM(B82:B$88)/$D$74</f>
        <v>1.837755361532593</v>
      </c>
      <c r="E82" s="2">
        <f>1000*SUM(C82:C$88)/(A82*SUM(B82:B$88))</f>
        <v>4.023557195571955</v>
      </c>
      <c r="F82" s="3">
        <f t="shared" si="64"/>
        <v>1.3307362604102595</v>
      </c>
      <c r="G82" s="4">
        <f t="shared" si="65"/>
        <v>12405.526836003626</v>
      </c>
      <c r="I82" s="5">
        <f t="shared" si="66"/>
        <v>167292.31101312963</v>
      </c>
      <c r="J82" s="5">
        <f t="shared" si="67"/>
        <v>281636.6023430398</v>
      </c>
      <c r="K82" s="5">
        <f t="shared" si="68"/>
        <v>474135.21457723406</v>
      </c>
      <c r="L82" s="5">
        <f t="shared" si="69"/>
        <v>1589105.7565352784</v>
      </c>
      <c r="M82" s="5">
        <f t="shared" si="70"/>
        <v>2675259.510278608</v>
      </c>
      <c r="N82" s="5">
        <f t="shared" si="71"/>
        <v>8966366.887134004</v>
      </c>
      <c r="O82" s="5">
        <f t="shared" si="72"/>
        <v>50591809.15056254</v>
      </c>
      <c r="Q82" s="5">
        <f t="shared" si="73"/>
        <v>41578.211239855074</v>
      </c>
      <c r="R82" s="5">
        <f t="shared" si="74"/>
        <v>69996.91781515852</v>
      </c>
      <c r="S82" s="5">
        <f t="shared" si="75"/>
        <v>117839.80978300347</v>
      </c>
      <c r="T82" s="5">
        <f t="shared" si="76"/>
        <v>394950.4578396789</v>
      </c>
      <c r="U82" s="5">
        <f t="shared" si="77"/>
        <v>664899.0881061194</v>
      </c>
      <c r="V82" s="5">
        <f t="shared" si="78"/>
        <v>2228467.609955131</v>
      </c>
      <c r="W82" s="5">
        <f t="shared" si="79"/>
        <v>12573900.827417176</v>
      </c>
    </row>
    <row r="83" spans="1:23" ht="12.75">
      <c r="A83">
        <v>500000</v>
      </c>
      <c r="B83">
        <v>307</v>
      </c>
      <c r="C83">
        <v>230892</v>
      </c>
      <c r="D83" s="2">
        <f>100*SUM(B83:B$88)/$D$74</f>
        <v>1.0121217258625075</v>
      </c>
      <c r="E83" s="2">
        <f>1000*SUM(C83:C$88)/(A83*SUM(B83:B$88))</f>
        <v>3.0795242881072027</v>
      </c>
      <c r="F83" s="3">
        <f t="shared" si="64"/>
        <v>1.4808792115191918</v>
      </c>
      <c r="G83" s="4">
        <f t="shared" si="65"/>
        <v>22488.190087547428</v>
      </c>
      <c r="I83" s="5">
        <f t="shared" si="66"/>
        <v>205321.6624879358</v>
      </c>
      <c r="J83" s="5">
        <f t="shared" si="67"/>
        <v>327878.2875415788</v>
      </c>
      <c r="K83" s="5">
        <f t="shared" si="68"/>
        <v>523589.0365319583</v>
      </c>
      <c r="L83" s="5">
        <f t="shared" si="69"/>
        <v>1552341.1819993362</v>
      </c>
      <c r="M83" s="5">
        <f t="shared" si="70"/>
        <v>2478934.5764435306</v>
      </c>
      <c r="N83" s="5">
        <f t="shared" si="71"/>
        <v>7349566.094782995</v>
      </c>
      <c r="O83" s="5">
        <f t="shared" si="72"/>
        <v>34796552.721750066</v>
      </c>
      <c r="Q83" s="5">
        <f t="shared" si="73"/>
        <v>66673.17523062455</v>
      </c>
      <c r="R83" s="5">
        <f t="shared" si="74"/>
        <v>106470.43402379066</v>
      </c>
      <c r="S83" s="5">
        <f t="shared" si="75"/>
        <v>170022.70076388223</v>
      </c>
      <c r="T83" s="5">
        <f t="shared" si="76"/>
        <v>504084.73412413534</v>
      </c>
      <c r="U83" s="5">
        <f t="shared" si="77"/>
        <v>804973.2181093405</v>
      </c>
      <c r="V83" s="5">
        <f t="shared" si="78"/>
        <v>2386591.3716499144</v>
      </c>
      <c r="W83" s="5">
        <f t="shared" si="79"/>
        <v>11299327.255229218</v>
      </c>
    </row>
    <row r="84" spans="1:23" ht="12.75">
      <c r="A84">
        <v>1000000</v>
      </c>
      <c r="B84">
        <v>184</v>
      </c>
      <c r="C84">
        <v>258698</v>
      </c>
      <c r="D84" s="2">
        <f>100*SUM(B84:B$88)/$D$74</f>
        <v>0.49165041959820294</v>
      </c>
      <c r="E84" s="2">
        <f>1000*SUM(C84:C$88)/(A84*SUM(B84:B$88))</f>
        <v>2.373606896551724</v>
      </c>
      <c r="F84" s="3">
        <f t="shared" si="64"/>
        <v>1.7280103226842995</v>
      </c>
      <c r="G84" s="4">
        <f t="shared" si="65"/>
        <v>46148.862145047955</v>
      </c>
      <c r="I84" s="5">
        <f t="shared" si="66"/>
        <v>278012.23333358526</v>
      </c>
      <c r="J84" s="5">
        <f t="shared" si="67"/>
        <v>415212.136490909</v>
      </c>
      <c r="K84" s="5">
        <f t="shared" si="68"/>
        <v>620120.6192336224</v>
      </c>
      <c r="L84" s="5">
        <f t="shared" si="69"/>
        <v>1573875.177667529</v>
      </c>
      <c r="M84" s="5">
        <f t="shared" si="70"/>
        <v>2350587.4804624957</v>
      </c>
      <c r="N84" s="5">
        <f t="shared" si="71"/>
        <v>5965825.314771912</v>
      </c>
      <c r="O84" s="5">
        <f t="shared" si="72"/>
        <v>22613655.893041722</v>
      </c>
      <c r="Q84" s="5">
        <f t="shared" si="73"/>
        <v>117126.48532386289</v>
      </c>
      <c r="R84" s="5">
        <f t="shared" si="74"/>
        <v>174928.77067980872</v>
      </c>
      <c r="S84" s="5">
        <f t="shared" si="75"/>
        <v>261256.663912844</v>
      </c>
      <c r="T84" s="5">
        <f t="shared" si="76"/>
        <v>663073.224110525</v>
      </c>
      <c r="U84" s="5">
        <f t="shared" si="77"/>
        <v>990301.9256799978</v>
      </c>
      <c r="V84" s="5">
        <f t="shared" si="78"/>
        <v>2513400.7334739426</v>
      </c>
      <c r="W84" s="5">
        <f t="shared" si="79"/>
        <v>9527127.649440978</v>
      </c>
    </row>
    <row r="85" spans="1:23" ht="12.75">
      <c r="A85">
        <v>2000000</v>
      </c>
      <c r="B85">
        <v>82</v>
      </c>
      <c r="C85">
        <v>237065</v>
      </c>
      <c r="D85" s="2">
        <f>100*SUM(B85:B$88)/$D$74</f>
        <v>0.17970670509451556</v>
      </c>
      <c r="E85" s="2">
        <f>1000*SUM(C85:C$88)/(A85*SUM(B85:B$88))</f>
        <v>2.0266415094339623</v>
      </c>
      <c r="F85" s="3">
        <f t="shared" si="64"/>
        <v>1.9740498419466295</v>
      </c>
      <c r="G85" s="4">
        <f t="shared" si="65"/>
        <v>81333.0156005267</v>
      </c>
      <c r="I85" s="5">
        <f t="shared" si="66"/>
        <v>372497.2033387927</v>
      </c>
      <c r="J85" s="5">
        <f t="shared" si="67"/>
        <v>529196.0952235955</v>
      </c>
      <c r="K85" s="5">
        <f t="shared" si="68"/>
        <v>751813.7174984149</v>
      </c>
      <c r="L85" s="5">
        <f t="shared" si="69"/>
        <v>1698984.6432901428</v>
      </c>
      <c r="M85" s="5">
        <f t="shared" si="70"/>
        <v>2413698.763413945</v>
      </c>
      <c r="N85" s="5">
        <f t="shared" si="71"/>
        <v>5454592.058008502</v>
      </c>
      <c r="O85" s="5">
        <f t="shared" si="72"/>
        <v>17511973.776097532</v>
      </c>
      <c r="Q85" s="5">
        <f t="shared" si="73"/>
        <v>183800.2437060665</v>
      </c>
      <c r="R85" s="5">
        <f t="shared" si="74"/>
        <v>261119.73566129073</v>
      </c>
      <c r="S85" s="5">
        <f t="shared" si="75"/>
        <v>370965.32070360845</v>
      </c>
      <c r="T85" s="5">
        <f t="shared" si="76"/>
        <v>838325.1973185265</v>
      </c>
      <c r="U85" s="5">
        <f t="shared" si="77"/>
        <v>1190984.5683996116</v>
      </c>
      <c r="V85" s="5">
        <f t="shared" si="78"/>
        <v>2691443.9641236602</v>
      </c>
      <c r="W85" s="5">
        <f t="shared" si="79"/>
        <v>8640883.794484502</v>
      </c>
    </row>
    <row r="86" spans="1:23" ht="12.75">
      <c r="A86">
        <v>5000000</v>
      </c>
      <c r="B86">
        <v>22</v>
      </c>
      <c r="C86">
        <v>149431</v>
      </c>
      <c r="D86" s="2">
        <f>100*SUM(B86:B$88)/$D$74</f>
        <v>0.040688310587437486</v>
      </c>
      <c r="E86" s="2">
        <f>1000*SUM(C86:C$88)/(A86*SUM(B86:B$88))</f>
        <v>1.6048583333333333</v>
      </c>
      <c r="F86" s="3">
        <f t="shared" si="64"/>
        <v>2.6532796935921636</v>
      </c>
      <c r="G86" s="4">
        <f t="shared" si="65"/>
        <v>263697.5546435819</v>
      </c>
      <c r="I86" s="5">
        <f t="shared" si="66"/>
        <v>776209.646851685</v>
      </c>
      <c r="J86" s="5">
        <f t="shared" si="67"/>
        <v>1007940.3829707642</v>
      </c>
      <c r="K86" s="5">
        <f t="shared" si="68"/>
        <v>1308852.3438789123</v>
      </c>
      <c r="L86" s="5">
        <f t="shared" si="69"/>
        <v>2400639.163711895</v>
      </c>
      <c r="M86" s="5">
        <f t="shared" si="70"/>
        <v>3117329.4068950536</v>
      </c>
      <c r="N86" s="5">
        <f t="shared" si="71"/>
        <v>5717667.921352156</v>
      </c>
      <c r="O86" s="5">
        <f t="shared" si="72"/>
        <v>13617925.989473227</v>
      </c>
      <c r="Q86" s="5">
        <f t="shared" si="73"/>
        <v>483662.4085313979</v>
      </c>
      <c r="R86" s="5">
        <f t="shared" si="74"/>
        <v>628055.6744701853</v>
      </c>
      <c r="S86" s="5">
        <f t="shared" si="75"/>
        <v>815556.3121639473</v>
      </c>
      <c r="T86" s="5">
        <f t="shared" si="76"/>
        <v>1495857.3687471237</v>
      </c>
      <c r="U86" s="5">
        <f t="shared" si="77"/>
        <v>1942432.7631587752</v>
      </c>
      <c r="V86" s="5">
        <f t="shared" si="78"/>
        <v>3562724.3866917575</v>
      </c>
      <c r="W86" s="5">
        <f t="shared" si="79"/>
        <v>8485438.064298443</v>
      </c>
    </row>
    <row r="87" spans="1:23" ht="12.75">
      <c r="A87">
        <v>10000000</v>
      </c>
      <c r="B87">
        <v>2</v>
      </c>
      <c r="C87">
        <v>43152</v>
      </c>
      <c r="D87" s="2">
        <f>100*SUM(B87:B$88)/$D$74</f>
        <v>0.0033906925489531237</v>
      </c>
      <c r="E87" s="2">
        <f>1000*SUM(C87:C$88)/(A87*SUM(B87:B$88))</f>
        <v>2.1576</v>
      </c>
      <c r="F87" s="3">
        <f t="shared" si="64"/>
        <v>1.8638562543192814</v>
      </c>
      <c r="G87" s="4">
        <f t="shared" si="65"/>
        <v>39985.370475041724</v>
      </c>
      <c r="I87" s="5">
        <f t="shared" si="66"/>
        <v>204590.22754160364</v>
      </c>
      <c r="J87" s="5">
        <f t="shared" si="67"/>
        <v>296752.31745806924</v>
      </c>
      <c r="K87" s="5">
        <f t="shared" si="68"/>
        <v>430430.81272700184</v>
      </c>
      <c r="L87" s="5">
        <f t="shared" si="69"/>
        <v>1020742.460471824</v>
      </c>
      <c r="M87" s="5">
        <f t="shared" si="70"/>
        <v>1480557.9636557607</v>
      </c>
      <c r="N87" s="5">
        <f t="shared" si="71"/>
        <v>3511059.9288151977</v>
      </c>
      <c r="O87" s="5">
        <f t="shared" si="72"/>
        <v>12077034.41476662</v>
      </c>
      <c r="Q87" s="5">
        <f t="shared" si="73"/>
        <v>94823.05688802543</v>
      </c>
      <c r="R87" s="5">
        <f t="shared" si="74"/>
        <v>137538.1523257644</v>
      </c>
      <c r="S87" s="5">
        <f t="shared" si="75"/>
        <v>199495.18572812472</v>
      </c>
      <c r="T87" s="5">
        <f t="shared" si="76"/>
        <v>473091.6112679941</v>
      </c>
      <c r="U87" s="5">
        <f t="shared" si="77"/>
        <v>686205.9527510941</v>
      </c>
      <c r="V87" s="5">
        <f t="shared" si="78"/>
        <v>1627298.8175821274</v>
      </c>
      <c r="W87" s="5">
        <f t="shared" si="79"/>
        <v>5597439.013147303</v>
      </c>
    </row>
    <row r="88" spans="1:23" ht="12.75">
      <c r="A88">
        <v>50000000</v>
      </c>
      <c r="B88">
        <v>0</v>
      </c>
      <c r="C88">
        <v>0</v>
      </c>
      <c r="D88" s="2">
        <f>100*SUM(B88:B$88)/$D$74</f>
        <v>0</v>
      </c>
      <c r="E88" s="2" t="e">
        <f>1000*SUM(C88:C$88)/(A88*SUM(B88:B$88))</f>
        <v>#DIV/0!</v>
      </c>
      <c r="F88" s="3" t="e">
        <f t="shared" si="64"/>
        <v>#DIV/0!</v>
      </c>
      <c r="G88" s="4" t="e">
        <f t="shared" si="65"/>
        <v>#DIV/0!</v>
      </c>
      <c r="I88" s="5" t="e">
        <f t="shared" si="66"/>
        <v>#DIV/0!</v>
      </c>
      <c r="J88" s="5" t="e">
        <f t="shared" si="67"/>
        <v>#DIV/0!</v>
      </c>
      <c r="K88" s="5" t="e">
        <f t="shared" si="68"/>
        <v>#DIV/0!</v>
      </c>
      <c r="L88" s="5" t="e">
        <f t="shared" si="69"/>
        <v>#DIV/0!</v>
      </c>
      <c r="M88" s="5" t="e">
        <f t="shared" si="70"/>
        <v>#DIV/0!</v>
      </c>
      <c r="N88" s="5" t="e">
        <f t="shared" si="71"/>
        <v>#DIV/0!</v>
      </c>
      <c r="O88" s="5" t="e">
        <f t="shared" si="72"/>
        <v>#DIV/0!</v>
      </c>
      <c r="Q88" s="5" t="e">
        <f t="shared" si="73"/>
        <v>#DIV/0!</v>
      </c>
      <c r="R88" s="5" t="e">
        <f t="shared" si="74"/>
        <v>#DIV/0!</v>
      </c>
      <c r="S88" s="5" t="e">
        <f t="shared" si="75"/>
        <v>#DIV/0!</v>
      </c>
      <c r="T88" s="5" t="e">
        <f t="shared" si="76"/>
        <v>#DIV/0!</v>
      </c>
      <c r="U88" s="5" t="e">
        <f t="shared" si="77"/>
        <v>#DIV/0!</v>
      </c>
      <c r="V88" s="5" t="e">
        <f t="shared" si="78"/>
        <v>#DIV/0!</v>
      </c>
      <c r="W88" s="5" t="e">
        <f t="shared" si="79"/>
        <v>#DIV/0!</v>
      </c>
    </row>
    <row r="89" spans="1:23" ht="12.75">
      <c r="A89" t="s">
        <v>18</v>
      </c>
      <c r="B89">
        <v>17853</v>
      </c>
      <c r="C89">
        <v>1467039</v>
      </c>
      <c r="H89" t="s">
        <v>19</v>
      </c>
      <c r="I89" s="4">
        <f>I78</f>
        <v>124006.57416054039</v>
      </c>
      <c r="J89" s="4">
        <f>J79</f>
        <v>241836.04029672692</v>
      </c>
      <c r="K89" s="4">
        <f>K80</f>
        <v>449872.2363232115</v>
      </c>
      <c r="L89" s="4">
        <f>L83</f>
        <v>1552341.1819993362</v>
      </c>
      <c r="M89" s="4">
        <f>M84</f>
        <v>2350587.4804624957</v>
      </c>
      <c r="N89" s="4">
        <f>N86</f>
        <v>5717667.921352156</v>
      </c>
      <c r="O89" s="4">
        <f>O87</f>
        <v>12077034.41476662</v>
      </c>
      <c r="Q89" s="4">
        <f>Q78</f>
        <v>1941.2441441697713</v>
      </c>
      <c r="R89" s="4">
        <f>R79</f>
        <v>11903.653720983928</v>
      </c>
      <c r="S89" s="4">
        <f>S80</f>
        <v>56733.527632127385</v>
      </c>
      <c r="T89" s="4">
        <f>T83</f>
        <v>504084.73412413534</v>
      </c>
      <c r="U89" s="4">
        <f>U84</f>
        <v>990301.9256799978</v>
      </c>
      <c r="V89" s="4">
        <f>V86</f>
        <v>3562724.3866917575</v>
      </c>
      <c r="W89" s="4">
        <f>W87</f>
        <v>5597439.013147303</v>
      </c>
    </row>
    <row r="90" spans="1:3" ht="12.75">
      <c r="A90" t="s">
        <v>20</v>
      </c>
      <c r="B90">
        <f>B89-SUM(B76:B88)</f>
        <v>0</v>
      </c>
      <c r="C90">
        <f>C89-SUM(C76:C88)</f>
        <v>0</v>
      </c>
    </row>
    <row r="92" spans="1:4" ht="12.75">
      <c r="A92" s="1">
        <v>1909</v>
      </c>
      <c r="B92" t="s">
        <v>24</v>
      </c>
      <c r="C92" t="s">
        <v>2</v>
      </c>
      <c r="D92">
        <v>57595</v>
      </c>
    </row>
    <row r="93" spans="1:23" ht="12.75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49</v>
      </c>
      <c r="J93" t="s">
        <v>11</v>
      </c>
      <c r="K93" t="s">
        <v>12</v>
      </c>
      <c r="L93" t="s">
        <v>13</v>
      </c>
      <c r="M93" t="s">
        <v>14</v>
      </c>
      <c r="N93" t="s">
        <v>15</v>
      </c>
      <c r="O93" t="s">
        <v>16</v>
      </c>
      <c r="P93" t="s">
        <v>17</v>
      </c>
      <c r="Q93" t="s">
        <v>49</v>
      </c>
      <c r="R93" t="s">
        <v>11</v>
      </c>
      <c r="S93" t="s">
        <v>12</v>
      </c>
      <c r="T93" t="s">
        <v>13</v>
      </c>
      <c r="U93" t="s">
        <v>14</v>
      </c>
      <c r="V93" t="s">
        <v>15</v>
      </c>
      <c r="W93" t="s">
        <v>16</v>
      </c>
    </row>
    <row r="94" spans="1:23" ht="12.75">
      <c r="A94">
        <v>1</v>
      </c>
      <c r="B94">
        <v>3078</v>
      </c>
      <c r="C94">
        <v>846</v>
      </c>
      <c r="D94" s="2">
        <f>100*SUM(B94:B$106)/$D$92</f>
        <v>32.9247330497439</v>
      </c>
      <c r="E94" s="2">
        <f>1000*SUM(C94:C$106)/(A94*SUM(B94:B$106))</f>
        <v>89791.69962558667</v>
      </c>
      <c r="F94" s="3">
        <f>E94/(E94-1)</f>
        <v>1.000011137010895</v>
      </c>
      <c r="G94" s="4">
        <f>(A94)*(D94/100)^(1/F94)</f>
        <v>0.32925140412879195</v>
      </c>
      <c r="I94" s="5">
        <f>$E94*$G94/(0.2^(1/$F94))</f>
        <v>147817.5663794583</v>
      </c>
      <c r="J94" s="5">
        <f>$E94*$G94/(0.1^(1/$F94))</f>
        <v>295632.85061180644</v>
      </c>
      <c r="K94" s="5">
        <f>$E94*$G94/(0.05^(1/$F94))</f>
        <v>591261.1369646267</v>
      </c>
      <c r="L94" s="5">
        <f>$E94*$G94/(0.01^(1/$F94))</f>
        <v>2956252.696096685</v>
      </c>
      <c r="M94" s="5">
        <f>$E94*$G94/(0.005^(1/$F94))</f>
        <v>5912459.750773935</v>
      </c>
      <c r="N94" s="5">
        <f>$E94*$G94/(0.001^(1/$F94))</f>
        <v>29561768.88019325</v>
      </c>
      <c r="O94" s="5">
        <f>$E94*$G94/(0.0001^(1/$F94))</f>
        <v>295610108.1885932</v>
      </c>
      <c r="Q94" s="5">
        <f>$G94/(0.2^(1/$F94))</f>
        <v>1.6462275131869408</v>
      </c>
      <c r="R94" s="5">
        <f>$G94/(0.1^(1/$F94))</f>
        <v>3.29242961035971</v>
      </c>
      <c r="S94" s="5">
        <f>$G94/(0.05^(1/$F94))</f>
        <v>6.584808389083476</v>
      </c>
      <c r="T94" s="5">
        <f>$G94/(0.01^(1/$F94))</f>
        <v>32.92345181596588</v>
      </c>
      <c r="U94" s="5">
        <f>$G94/(0.005^(1/$F94))</f>
        <v>65.84639532860724</v>
      </c>
      <c r="V94" s="5">
        <f>$G94/(0.001^(1/$F94))</f>
        <v>329.22607549985</v>
      </c>
      <c r="W94" s="5">
        <f>$G94/(0.0001^(1/$F94))</f>
        <v>3292.176330565386</v>
      </c>
    </row>
    <row r="95" spans="1:23" ht="12.75">
      <c r="A95">
        <v>500</v>
      </c>
      <c r="B95">
        <v>4069</v>
      </c>
      <c r="C95">
        <v>4870</v>
      </c>
      <c r="D95" s="2">
        <f>100*SUM(B95:B$106)/$D$92</f>
        <v>27.580519142286658</v>
      </c>
      <c r="E95" s="2">
        <f>1000*SUM(C95:C$106)/(A95*SUM(B95:B$106))</f>
        <v>214.27434686811458</v>
      </c>
      <c r="F95" s="3">
        <f aca="true" t="shared" si="80" ref="F95:F106">E95/(E95-1)</f>
        <v>1.0046887964477902</v>
      </c>
      <c r="G95" s="4">
        <f aca="true" t="shared" si="81" ref="G95:G106">(A95)*(D95/100)^(1/F95)</f>
        <v>138.73406172903046</v>
      </c>
      <c r="I95" s="5">
        <f aca="true" t="shared" si="82" ref="I95:I106">$E95*$G95/(0.2^(1/$F95))</f>
        <v>147523.51532884146</v>
      </c>
      <c r="J95" s="5">
        <f aca="true" t="shared" si="83" ref="J95:J106">$E95*$G95/(0.1^(1/$F95))</f>
        <v>294094.1373472571</v>
      </c>
      <c r="K95" s="5">
        <f aca="true" t="shared" si="84" ref="K95:K106">$E95*$G95/(0.05^(1/$F95))</f>
        <v>586288.6430629807</v>
      </c>
      <c r="L95" s="5">
        <f aca="true" t="shared" si="85" ref="L95:L106">$E95*$G95/(0.01^(1/$F95))</f>
        <v>2909507.3112656916</v>
      </c>
      <c r="M95" s="5">
        <f aca="true" t="shared" si="86" ref="M95:M106">$E95*$G95/(0.005^(1/$F95))</f>
        <v>5800221.347117895</v>
      </c>
      <c r="N95" s="5">
        <f aca="true" t="shared" si="87" ref="N95:N106">$E95*$G95/(0.001^(1/$F95))</f>
        <v>28784092.300055027</v>
      </c>
      <c r="O95" s="5">
        <f aca="true" t="shared" si="88" ref="O95:O106">$E95*$G95/(0.0001^(1/$F95))</f>
        <v>284764353.85813284</v>
      </c>
      <c r="Q95" s="5">
        <f aca="true" t="shared" si="89" ref="Q95:Q106">$G95/(0.2^(1/$F95))</f>
        <v>688.479593964843</v>
      </c>
      <c r="R95" s="5">
        <f aca="true" t="shared" si="90" ref="R95:R106">$G95/(0.1^(1/$F95))</f>
        <v>1372.5121165730186</v>
      </c>
      <c r="S95" s="5">
        <f aca="true" t="shared" si="91" ref="S95:S106">$G95/(0.05^(1/$F95))</f>
        <v>2736.158815239979</v>
      </c>
      <c r="T95" s="5">
        <f aca="true" t="shared" si="92" ref="T95:T106">$G95/(0.01^(1/$F95))</f>
        <v>13578.421093293484</v>
      </c>
      <c r="U95" s="5">
        <f aca="true" t="shared" si="93" ref="U95:U106">$G95/(0.005^(1/$F95))</f>
        <v>27069.135582001887</v>
      </c>
      <c r="V95" s="5">
        <f aca="true" t="shared" si="94" ref="V95:V106">$G95/(0.001^(1/$F95))</f>
        <v>134332.89015120215</v>
      </c>
      <c r="W95" s="5">
        <f aca="true" t="shared" si="95" ref="W95:W106">$G95/(0.0001^(1/$F95))</f>
        <v>1328970.8171804845</v>
      </c>
    </row>
    <row r="96" spans="1:23" ht="12.75">
      <c r="A96">
        <v>2000</v>
      </c>
      <c r="B96">
        <v>4555</v>
      </c>
      <c r="C96">
        <v>22711</v>
      </c>
      <c r="D96" s="2">
        <f>100*SUM(B96:B$106)/$D$92</f>
        <v>20.51566976300026</v>
      </c>
      <c r="E96" s="2">
        <f>1000*SUM(C96:C$106)/(A96*SUM(B96:B$106))</f>
        <v>71.80958023019635</v>
      </c>
      <c r="F96" s="3">
        <f t="shared" si="80"/>
        <v>1.0141223828294008</v>
      </c>
      <c r="G96" s="4">
        <f t="shared" si="81"/>
        <v>419.4646783166566</v>
      </c>
      <c r="I96" s="5">
        <f t="shared" si="82"/>
        <v>147269.94651472036</v>
      </c>
      <c r="J96" s="5">
        <f t="shared" si="83"/>
        <v>291710.50276860397</v>
      </c>
      <c r="K96" s="5">
        <f t="shared" si="84"/>
        <v>577816.584030646</v>
      </c>
      <c r="L96" s="5">
        <f t="shared" si="85"/>
        <v>2825051.356666027</v>
      </c>
      <c r="M96" s="5">
        <f t="shared" si="86"/>
        <v>5595827.058427024</v>
      </c>
      <c r="N96" s="5">
        <f t="shared" si="87"/>
        <v>27359025.787739053</v>
      </c>
      <c r="O96" s="5">
        <f t="shared" si="88"/>
        <v>264956702.57036638</v>
      </c>
      <c r="Q96" s="5">
        <f t="shared" si="89"/>
        <v>2050.839818901942</v>
      </c>
      <c r="R96" s="5">
        <f t="shared" si="90"/>
        <v>4062.278345500452</v>
      </c>
      <c r="S96" s="5">
        <f t="shared" si="91"/>
        <v>8046.511094736504</v>
      </c>
      <c r="T96" s="5">
        <f t="shared" si="92"/>
        <v>39340.86994534577</v>
      </c>
      <c r="U96" s="5">
        <f t="shared" si="93"/>
        <v>77925.91239899695</v>
      </c>
      <c r="V96" s="5">
        <f t="shared" si="94"/>
        <v>380994.09159663104</v>
      </c>
      <c r="W96" s="5">
        <f t="shared" si="95"/>
        <v>3689712.4550931514</v>
      </c>
    </row>
    <row r="97" spans="1:23" ht="12.75">
      <c r="A97">
        <v>10000</v>
      </c>
      <c r="B97">
        <v>3961</v>
      </c>
      <c r="C97">
        <v>89132</v>
      </c>
      <c r="D97" s="2">
        <f>100*SUM(B97:B$106)/$D$92</f>
        <v>12.606997135167983</v>
      </c>
      <c r="E97" s="2">
        <f>1000*SUM(C97:C$106)/(A97*SUM(B97:B$106))</f>
        <v>23.058710921360696</v>
      </c>
      <c r="F97" s="3">
        <f t="shared" si="80"/>
        <v>1.0453335647565716</v>
      </c>
      <c r="G97" s="4">
        <f t="shared" si="81"/>
        <v>1379.1640594148969</v>
      </c>
      <c r="I97" s="5">
        <f t="shared" si="82"/>
        <v>148288.7954532997</v>
      </c>
      <c r="J97" s="5">
        <f t="shared" si="83"/>
        <v>287795.10113607446</v>
      </c>
      <c r="K97" s="5">
        <f t="shared" si="84"/>
        <v>558545.370772855</v>
      </c>
      <c r="L97" s="5">
        <f t="shared" si="85"/>
        <v>2604448.884879161</v>
      </c>
      <c r="M97" s="5">
        <f t="shared" si="86"/>
        <v>5054647.776565074</v>
      </c>
      <c r="N97" s="5">
        <f t="shared" si="87"/>
        <v>23569386.578061037</v>
      </c>
      <c r="O97" s="5">
        <f t="shared" si="88"/>
        <v>213295022.56361505</v>
      </c>
      <c r="Q97" s="5">
        <f t="shared" si="89"/>
        <v>6430.923045048919</v>
      </c>
      <c r="R97" s="5">
        <f t="shared" si="90"/>
        <v>12480.970949224755</v>
      </c>
      <c r="S97" s="5">
        <f t="shared" si="91"/>
        <v>24222.749167449783</v>
      </c>
      <c r="T97" s="5">
        <f t="shared" si="92"/>
        <v>112948.58996070332</v>
      </c>
      <c r="U97" s="5">
        <f t="shared" si="93"/>
        <v>219207.73428330047</v>
      </c>
      <c r="V97" s="5">
        <f t="shared" si="94"/>
        <v>1022146.7565312712</v>
      </c>
      <c r="W97" s="5">
        <f t="shared" si="95"/>
        <v>9250084.416732369</v>
      </c>
    </row>
    <row r="98" spans="1:23" ht="12.75">
      <c r="A98">
        <v>50000</v>
      </c>
      <c r="B98">
        <v>1150</v>
      </c>
      <c r="C98">
        <v>80626</v>
      </c>
      <c r="D98" s="2">
        <f>100*SUM(B98:B$106)/$D$92</f>
        <v>5.729664033336227</v>
      </c>
      <c r="E98" s="2">
        <f>1000*SUM(C98:C$106)/(A98*SUM(B98:B$106))</f>
        <v>9.607036363636364</v>
      </c>
      <c r="F98" s="3">
        <f t="shared" si="80"/>
        <v>1.116184010122796</v>
      </c>
      <c r="G98" s="4">
        <f t="shared" si="81"/>
        <v>3858.033203731366</v>
      </c>
      <c r="I98" s="5">
        <f t="shared" si="82"/>
        <v>156736.21373759475</v>
      </c>
      <c r="J98" s="5">
        <f t="shared" si="83"/>
        <v>291652.0426340994</v>
      </c>
      <c r="K98" s="5">
        <f t="shared" si="84"/>
        <v>542701.0895838672</v>
      </c>
      <c r="L98" s="5">
        <f t="shared" si="85"/>
        <v>2294957.5104003726</v>
      </c>
      <c r="M98" s="5">
        <f t="shared" si="86"/>
        <v>4270417.344566689</v>
      </c>
      <c r="N98" s="5">
        <f t="shared" si="87"/>
        <v>18058608.220175337</v>
      </c>
      <c r="O98" s="5">
        <f t="shared" si="88"/>
        <v>142099942.7535769</v>
      </c>
      <c r="Q98" s="5">
        <f t="shared" si="89"/>
        <v>16314.730974773622</v>
      </c>
      <c r="R98" s="5">
        <f t="shared" si="90"/>
        <v>30358.169949062834</v>
      </c>
      <c r="S98" s="5">
        <f t="shared" si="91"/>
        <v>56489.95892615203</v>
      </c>
      <c r="T98" s="5">
        <f t="shared" si="92"/>
        <v>238882.98363135444</v>
      </c>
      <c r="U98" s="5">
        <f t="shared" si="93"/>
        <v>444509.3349215023</v>
      </c>
      <c r="V98" s="5">
        <f t="shared" si="94"/>
        <v>1879727.268289423</v>
      </c>
      <c r="W98" s="5">
        <f t="shared" si="95"/>
        <v>14791236.06645646</v>
      </c>
    </row>
    <row r="99" spans="1:23" ht="12.75">
      <c r="A99">
        <v>100000</v>
      </c>
      <c r="B99">
        <v>1013</v>
      </c>
      <c r="C99">
        <v>160469</v>
      </c>
      <c r="D99" s="2">
        <f>100*SUM(B99:B$106)/$D$92</f>
        <v>3.732962930809966</v>
      </c>
      <c r="E99" s="2">
        <f>1000*SUM(C99:C$106)/(A99*SUM(B99:B$106))</f>
        <v>6.997837209302325</v>
      </c>
      <c r="F99" s="3">
        <f t="shared" si="80"/>
        <v>1.1667267658497056</v>
      </c>
      <c r="G99" s="4">
        <f t="shared" si="81"/>
        <v>5971.852275444111</v>
      </c>
      <c r="I99" s="5">
        <f t="shared" si="82"/>
        <v>166019.5287948847</v>
      </c>
      <c r="J99" s="5">
        <f t="shared" si="83"/>
        <v>300726.42834892246</v>
      </c>
      <c r="K99" s="5">
        <f t="shared" si="84"/>
        <v>544733.4139782601</v>
      </c>
      <c r="L99" s="5">
        <f t="shared" si="85"/>
        <v>2164065.000503247</v>
      </c>
      <c r="M99" s="5">
        <f t="shared" si="86"/>
        <v>3919969.795362425</v>
      </c>
      <c r="N99" s="5">
        <f t="shared" si="87"/>
        <v>15572882.476991313</v>
      </c>
      <c r="O99" s="5">
        <f t="shared" si="88"/>
        <v>112064410.53562947</v>
      </c>
      <c r="Q99" s="5">
        <f t="shared" si="89"/>
        <v>23724.40567411208</v>
      </c>
      <c r="R99" s="5">
        <f t="shared" si="90"/>
        <v>42974.19607720547</v>
      </c>
      <c r="S99" s="5">
        <f t="shared" si="91"/>
        <v>77843.11033330958</v>
      </c>
      <c r="T99" s="5">
        <f t="shared" si="92"/>
        <v>309247.6912190133</v>
      </c>
      <c r="U99" s="5">
        <f t="shared" si="93"/>
        <v>560168.7604495218</v>
      </c>
      <c r="V99" s="5">
        <f t="shared" si="94"/>
        <v>2225385.0741612073</v>
      </c>
      <c r="W99" s="5">
        <f t="shared" si="95"/>
        <v>16014149.398425652</v>
      </c>
    </row>
    <row r="100" spans="1:23" ht="12.75">
      <c r="A100">
        <v>250000</v>
      </c>
      <c r="B100">
        <v>493</v>
      </c>
      <c r="C100">
        <v>169546</v>
      </c>
      <c r="D100" s="2">
        <f>100*SUM(B100:B$106)/$D$92</f>
        <v>1.9741296987585728</v>
      </c>
      <c r="E100" s="2">
        <f>1000*SUM(C100:C$106)/(A100*SUM(B100:B$106))</f>
        <v>4.72846437994723</v>
      </c>
      <c r="F100" s="3">
        <f t="shared" si="80"/>
        <v>1.2682069340338322</v>
      </c>
      <c r="G100" s="4">
        <f t="shared" si="81"/>
        <v>11319.270038381588</v>
      </c>
      <c r="I100" s="5">
        <f t="shared" si="82"/>
        <v>190408.6923655616</v>
      </c>
      <c r="J100" s="5">
        <f t="shared" si="83"/>
        <v>328892.0624928348</v>
      </c>
      <c r="K100" s="5">
        <f t="shared" si="84"/>
        <v>568093.7536355613</v>
      </c>
      <c r="L100" s="5">
        <f t="shared" si="85"/>
        <v>2021008.974404691</v>
      </c>
      <c r="M100" s="5">
        <f t="shared" si="86"/>
        <v>3490879.5478325975</v>
      </c>
      <c r="N100" s="5">
        <f t="shared" si="87"/>
        <v>12418898.904601214</v>
      </c>
      <c r="O100" s="5">
        <f t="shared" si="88"/>
        <v>76312897.14986794</v>
      </c>
      <c r="Q100" s="5">
        <f t="shared" si="89"/>
        <v>40268.61092008196</v>
      </c>
      <c r="R100" s="5">
        <f t="shared" si="90"/>
        <v>69555.78726311676</v>
      </c>
      <c r="S100" s="5">
        <f t="shared" si="91"/>
        <v>120143.39286233585</v>
      </c>
      <c r="T100" s="5">
        <f t="shared" si="92"/>
        <v>427413.3866748607</v>
      </c>
      <c r="U100" s="5">
        <f t="shared" si="93"/>
        <v>738269.185792525</v>
      </c>
      <c r="V100" s="5">
        <f t="shared" si="94"/>
        <v>2626412.7011864707</v>
      </c>
      <c r="W100" s="5">
        <f t="shared" si="95"/>
        <v>16139044.522255575</v>
      </c>
    </row>
    <row r="101" spans="1:23" ht="12.75">
      <c r="A101">
        <v>500000</v>
      </c>
      <c r="B101">
        <v>321</v>
      </c>
      <c r="C101">
        <v>219362</v>
      </c>
      <c r="D101" s="2">
        <f>100*SUM(B101:B$106)/$D$92</f>
        <v>1.118152617414706</v>
      </c>
      <c r="E101" s="2">
        <f>1000*SUM(C101:C$106)/(A101*SUM(B101:B$106))</f>
        <v>3.6475776397515527</v>
      </c>
      <c r="F101" s="3">
        <f t="shared" si="80"/>
        <v>1.3777037488856567</v>
      </c>
      <c r="G101" s="4">
        <f t="shared" si="81"/>
        <v>19163.877786997866</v>
      </c>
      <c r="I101" s="5">
        <f t="shared" si="82"/>
        <v>224818.54661314774</v>
      </c>
      <c r="J101" s="5">
        <f t="shared" si="83"/>
        <v>371820.5501270038</v>
      </c>
      <c r="K101" s="5">
        <f t="shared" si="84"/>
        <v>614942.6885791578</v>
      </c>
      <c r="L101" s="5">
        <f t="shared" si="85"/>
        <v>1977783.9165065372</v>
      </c>
      <c r="M101" s="5">
        <f t="shared" si="86"/>
        <v>3270996.6101381904</v>
      </c>
      <c r="N101" s="5">
        <f t="shared" si="87"/>
        <v>10520207.178048208</v>
      </c>
      <c r="O101" s="5">
        <f t="shared" si="88"/>
        <v>55958974.155552626</v>
      </c>
      <c r="Q101" s="5">
        <f t="shared" si="89"/>
        <v>61635.02708292203</v>
      </c>
      <c r="R101" s="5">
        <f t="shared" si="90"/>
        <v>101936.29494678271</v>
      </c>
      <c r="S101" s="5">
        <f t="shared" si="91"/>
        <v>168589.33498151484</v>
      </c>
      <c r="T101" s="5">
        <f t="shared" si="92"/>
        <v>542218.4561481329</v>
      </c>
      <c r="U101" s="5">
        <f t="shared" si="93"/>
        <v>896758.5979502242</v>
      </c>
      <c r="V101" s="5">
        <f t="shared" si="94"/>
        <v>2884162.6462993594</v>
      </c>
      <c r="W101" s="5">
        <f t="shared" si="95"/>
        <v>15341407.279644404</v>
      </c>
    </row>
    <row r="102" spans="1:23" ht="12.75">
      <c r="A102">
        <v>1000000</v>
      </c>
      <c r="B102">
        <v>192</v>
      </c>
      <c r="C102">
        <v>257653</v>
      </c>
      <c r="D102" s="2">
        <f>100*SUM(B102:B$106)/$D$92</f>
        <v>0.5608125705356368</v>
      </c>
      <c r="E102" s="2">
        <f>1000*SUM(C102:C$106)/(A102*SUM(B102:B$106))</f>
        <v>2.9571455108359133</v>
      </c>
      <c r="F102" s="3">
        <f t="shared" si="80"/>
        <v>1.51094821231401</v>
      </c>
      <c r="G102" s="4">
        <f t="shared" si="81"/>
        <v>32365.805500675324</v>
      </c>
      <c r="I102" s="5">
        <f t="shared" si="82"/>
        <v>277691.54924749286</v>
      </c>
      <c r="J102" s="5">
        <f t="shared" si="83"/>
        <v>439334.3569105645</v>
      </c>
      <c r="K102" s="5">
        <f t="shared" si="84"/>
        <v>695068.6028619283</v>
      </c>
      <c r="L102" s="5">
        <f t="shared" si="85"/>
        <v>2016653.199019843</v>
      </c>
      <c r="M102" s="5">
        <f t="shared" si="86"/>
        <v>3190536.5456886133</v>
      </c>
      <c r="N102" s="5">
        <f t="shared" si="87"/>
        <v>9256936.228970742</v>
      </c>
      <c r="O102" s="5">
        <f t="shared" si="88"/>
        <v>42491623.44268194</v>
      </c>
      <c r="Q102" s="5">
        <f t="shared" si="89"/>
        <v>93905.27054889369</v>
      </c>
      <c r="R102" s="5">
        <f t="shared" si="90"/>
        <v>148567.0405127867</v>
      </c>
      <c r="S102" s="5">
        <f t="shared" si="91"/>
        <v>235047.14269723214</v>
      </c>
      <c r="T102" s="5">
        <f t="shared" si="92"/>
        <v>681959.4070126716</v>
      </c>
      <c r="U102" s="5">
        <f t="shared" si="93"/>
        <v>1078924.4337140266</v>
      </c>
      <c r="V102" s="5">
        <f t="shared" si="94"/>
        <v>3130362.0992103396</v>
      </c>
      <c r="W102" s="5">
        <f t="shared" si="95"/>
        <v>14369135.129461583</v>
      </c>
    </row>
    <row r="103" spans="1:23" ht="12.75">
      <c r="A103">
        <v>2000000</v>
      </c>
      <c r="B103">
        <v>92</v>
      </c>
      <c r="C103">
        <v>270079</v>
      </c>
      <c r="D103" s="2">
        <f>100*SUM(B103:B$106)/$D$92</f>
        <v>0.22745029950516538</v>
      </c>
      <c r="E103" s="2">
        <f>1000*SUM(C103:C$106)/(A103*SUM(B103:B$106))</f>
        <v>2.662232824427481</v>
      </c>
      <c r="F103" s="3">
        <f t="shared" si="80"/>
        <v>1.6016004408674986</v>
      </c>
      <c r="G103" s="4">
        <f t="shared" si="81"/>
        <v>44744.00102005303</v>
      </c>
      <c r="I103" s="5">
        <f t="shared" si="82"/>
        <v>325387.2734498507</v>
      </c>
      <c r="J103" s="5">
        <f t="shared" si="83"/>
        <v>501598.5848563252</v>
      </c>
      <c r="K103" s="5">
        <f t="shared" si="84"/>
        <v>773235.9586849218</v>
      </c>
      <c r="L103" s="5">
        <f t="shared" si="85"/>
        <v>2112184.032069386</v>
      </c>
      <c r="M103" s="5">
        <f t="shared" si="86"/>
        <v>3256023.2310542976</v>
      </c>
      <c r="N103" s="5">
        <f t="shared" si="87"/>
        <v>8894206.483072046</v>
      </c>
      <c r="O103" s="5">
        <f t="shared" si="88"/>
        <v>37452659.31492566</v>
      </c>
      <c r="Q103" s="5">
        <f t="shared" si="89"/>
        <v>122223.44734999877</v>
      </c>
      <c r="R103" s="5">
        <f t="shared" si="90"/>
        <v>188412.74146042997</v>
      </c>
      <c r="S103" s="5">
        <f t="shared" si="91"/>
        <v>290446.40708733205</v>
      </c>
      <c r="T103" s="5">
        <f t="shared" si="92"/>
        <v>793388.1712707136</v>
      </c>
      <c r="U103" s="5">
        <f t="shared" si="93"/>
        <v>1223042.2527956446</v>
      </c>
      <c r="V103" s="5">
        <f t="shared" si="94"/>
        <v>3340882.2855246575</v>
      </c>
      <c r="W103" s="5">
        <f t="shared" si="95"/>
        <v>14068138.207626501</v>
      </c>
    </row>
    <row r="104" spans="1:23" ht="12.75">
      <c r="A104">
        <v>5000000</v>
      </c>
      <c r="B104">
        <v>30</v>
      </c>
      <c r="C104">
        <v>191769</v>
      </c>
      <c r="D104" s="2">
        <f>100*SUM(B104:B$106)/$D$92</f>
        <v>0.0677142113030645</v>
      </c>
      <c r="E104" s="2">
        <f>1000*SUM(C104:C$106)/(A104*SUM(B104:B$106))</f>
        <v>2.191928205128205</v>
      </c>
      <c r="F104" s="3">
        <f t="shared" si="80"/>
        <v>1.83897670656467</v>
      </c>
      <c r="G104" s="4">
        <f t="shared" si="81"/>
        <v>94526.79455152199</v>
      </c>
      <c r="I104" s="5">
        <f t="shared" si="82"/>
        <v>497127.3292173562</v>
      </c>
      <c r="J104" s="5">
        <f t="shared" si="83"/>
        <v>724706.1284185562</v>
      </c>
      <c r="K104" s="5">
        <f t="shared" si="84"/>
        <v>1056467.7129987015</v>
      </c>
      <c r="L104" s="5">
        <f t="shared" si="85"/>
        <v>2534793.6572751226</v>
      </c>
      <c r="M104" s="5">
        <f t="shared" si="86"/>
        <v>3695191.130601862</v>
      </c>
      <c r="N104" s="5">
        <f t="shared" si="87"/>
        <v>8865909.412113195</v>
      </c>
      <c r="O104" s="5">
        <f t="shared" si="88"/>
        <v>31010157.169280678</v>
      </c>
      <c r="Q104" s="5">
        <f t="shared" si="89"/>
        <v>226799.09317024346</v>
      </c>
      <c r="R104" s="5">
        <f t="shared" si="90"/>
        <v>330624.9386832305</v>
      </c>
      <c r="S104" s="5">
        <f t="shared" si="91"/>
        <v>481980.9839241105</v>
      </c>
      <c r="T104" s="5">
        <f t="shared" si="92"/>
        <v>1156421.8441757145</v>
      </c>
      <c r="U104" s="5">
        <f t="shared" si="93"/>
        <v>1685817.5929104995</v>
      </c>
      <c r="V104" s="5">
        <f t="shared" si="94"/>
        <v>4044799.1824598256</v>
      </c>
      <c r="W104" s="5">
        <f t="shared" si="95"/>
        <v>14147432.884311512</v>
      </c>
    </row>
    <row r="105" spans="1:23" ht="12.75">
      <c r="A105">
        <v>10000000</v>
      </c>
      <c r="B105">
        <v>8</v>
      </c>
      <c r="C105">
        <v>151681</v>
      </c>
      <c r="D105" s="2">
        <f>100*SUM(B105:B$106)/$D$92</f>
        <v>0.015626356454553347</v>
      </c>
      <c r="E105" s="2">
        <f>1000*SUM(C105:C$106)/(A105*SUM(B105:B$106))</f>
        <v>2.618411111111111</v>
      </c>
      <c r="F105" s="3">
        <f t="shared" si="80"/>
        <v>1.6178899743918933</v>
      </c>
      <c r="G105" s="4">
        <f t="shared" si="81"/>
        <v>44408.41982098109</v>
      </c>
      <c r="I105" s="5">
        <f t="shared" si="82"/>
        <v>314433.51293979265</v>
      </c>
      <c r="J105" s="5">
        <f t="shared" si="83"/>
        <v>482605.37823952077</v>
      </c>
      <c r="K105" s="5">
        <f t="shared" si="84"/>
        <v>740722.4151399786</v>
      </c>
      <c r="L105" s="5">
        <f t="shared" si="85"/>
        <v>2003000.9703667886</v>
      </c>
      <c r="M105" s="5">
        <f t="shared" si="86"/>
        <v>3074287.5715766535</v>
      </c>
      <c r="N105" s="5">
        <f t="shared" si="87"/>
        <v>8313237.001057843</v>
      </c>
      <c r="O105" s="5">
        <f t="shared" si="88"/>
        <v>34503183.202702954</v>
      </c>
      <c r="Q105" s="5">
        <f t="shared" si="89"/>
        <v>120085.61665718116</v>
      </c>
      <c r="R105" s="5">
        <f t="shared" si="90"/>
        <v>184312.30152958268</v>
      </c>
      <c r="S105" s="5">
        <f t="shared" si="91"/>
        <v>282890.03663204605</v>
      </c>
      <c r="T105" s="5">
        <f t="shared" si="92"/>
        <v>764968.0991144375</v>
      </c>
      <c r="U105" s="5">
        <f t="shared" si="93"/>
        <v>1174104.2338733787</v>
      </c>
      <c r="V105" s="5">
        <f t="shared" si="94"/>
        <v>3174916.637720101</v>
      </c>
      <c r="W105" s="5">
        <f t="shared" si="95"/>
        <v>13177145.122967985</v>
      </c>
    </row>
    <row r="106" spans="1:23" ht="12.75">
      <c r="A106">
        <v>50000000</v>
      </c>
      <c r="B106">
        <v>1</v>
      </c>
      <c r="C106">
        <v>83976</v>
      </c>
      <c r="D106" s="2">
        <f>100*SUM(B106:B$106)/$D$92</f>
        <v>0.001736261828283705</v>
      </c>
      <c r="E106" s="2">
        <f>1000*SUM(C106:C$106)/(A106*SUM(B106:B$106))</f>
        <v>1.67952</v>
      </c>
      <c r="F106" s="3">
        <f t="shared" si="80"/>
        <v>2.471627030845303</v>
      </c>
      <c r="G106" s="4">
        <f t="shared" si="81"/>
        <v>592867.1849943507</v>
      </c>
      <c r="I106" s="5">
        <f t="shared" si="82"/>
        <v>1909589.934004042</v>
      </c>
      <c r="J106" s="5">
        <f t="shared" si="83"/>
        <v>2527751.524234504</v>
      </c>
      <c r="K106" s="5">
        <f t="shared" si="84"/>
        <v>3346020.8678793414</v>
      </c>
      <c r="L106" s="5">
        <f t="shared" si="85"/>
        <v>6416913.264032132</v>
      </c>
      <c r="M106" s="5">
        <f t="shared" si="86"/>
        <v>8494159.921563292</v>
      </c>
      <c r="N106" s="5">
        <f t="shared" si="87"/>
        <v>16289882.705374433</v>
      </c>
      <c r="O106" s="5">
        <f t="shared" si="88"/>
        <v>41353259.3688379</v>
      </c>
      <c r="Q106" s="5">
        <f t="shared" si="89"/>
        <v>1136985.5280104089</v>
      </c>
      <c r="R106" s="5">
        <f t="shared" si="90"/>
        <v>1505044.01509628</v>
      </c>
      <c r="S106" s="5">
        <f t="shared" si="91"/>
        <v>1992248.3018239387</v>
      </c>
      <c r="T106" s="5">
        <f t="shared" si="92"/>
        <v>3820682.8522626297</v>
      </c>
      <c r="U106" s="5">
        <f t="shared" si="93"/>
        <v>5057492.570236313</v>
      </c>
      <c r="V106" s="5">
        <f t="shared" si="94"/>
        <v>9699129.933179975</v>
      </c>
      <c r="W106" s="5">
        <f t="shared" si="95"/>
        <v>24622070.2157985</v>
      </c>
    </row>
    <row r="107" spans="1:23" ht="12.75">
      <c r="A107" t="s">
        <v>18</v>
      </c>
      <c r="B107">
        <v>18963</v>
      </c>
      <c r="C107">
        <v>1702720</v>
      </c>
      <c r="H107" t="s">
        <v>19</v>
      </c>
      <c r="I107" s="4">
        <f>I96</f>
        <v>147269.94651472036</v>
      </c>
      <c r="J107" s="4">
        <f>J97</f>
        <v>287795.10113607446</v>
      </c>
      <c r="K107" s="4">
        <f>K98</f>
        <v>542701.0895838672</v>
      </c>
      <c r="L107" s="4">
        <f>L101</f>
        <v>1977783.9165065372</v>
      </c>
      <c r="M107" s="4">
        <f>M102</f>
        <v>3190536.5456886133</v>
      </c>
      <c r="N107" s="4">
        <f>N104</f>
        <v>8865909.412113195</v>
      </c>
      <c r="O107" s="4">
        <f>O105</f>
        <v>34503183.202702954</v>
      </c>
      <c r="Q107" s="4">
        <f>Q96</f>
        <v>2050.839818901942</v>
      </c>
      <c r="R107" s="4">
        <f>R97</f>
        <v>12480.970949224755</v>
      </c>
      <c r="S107" s="4">
        <f>S98</f>
        <v>56489.95892615203</v>
      </c>
      <c r="T107" s="4">
        <f>T101</f>
        <v>542218.4561481329</v>
      </c>
      <c r="U107" s="4">
        <f>U102</f>
        <v>1078924.4337140266</v>
      </c>
      <c r="V107" s="4">
        <f>V104</f>
        <v>4044799.1824598256</v>
      </c>
      <c r="W107" s="4">
        <f>W105</f>
        <v>13177145.122967985</v>
      </c>
    </row>
    <row r="108" spans="1:3" ht="12.75">
      <c r="A108" t="s">
        <v>20</v>
      </c>
      <c r="B108">
        <f>B107-SUM(B94:B106)</f>
        <v>0</v>
      </c>
      <c r="C108">
        <f>C107-SUM(C94:C106)</f>
        <v>0</v>
      </c>
    </row>
    <row r="110" spans="1:4" ht="12.75">
      <c r="A110" s="1">
        <v>1910</v>
      </c>
      <c r="B110" t="s">
        <v>25</v>
      </c>
      <c r="C110" t="s">
        <v>2</v>
      </c>
      <c r="D110">
        <v>54358</v>
      </c>
    </row>
    <row r="111" spans="1:23" ht="12.75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49</v>
      </c>
      <c r="J111" t="s">
        <v>11</v>
      </c>
      <c r="K111" t="s">
        <v>12</v>
      </c>
      <c r="L111" t="s">
        <v>13</v>
      </c>
      <c r="M111" t="s">
        <v>14</v>
      </c>
      <c r="N111" t="s">
        <v>15</v>
      </c>
      <c r="O111" t="s">
        <v>16</v>
      </c>
      <c r="P111" t="s">
        <v>17</v>
      </c>
      <c r="Q111" t="s">
        <v>49</v>
      </c>
      <c r="R111" t="s">
        <v>11</v>
      </c>
      <c r="S111" t="s">
        <v>12</v>
      </c>
      <c r="T111" t="s">
        <v>13</v>
      </c>
      <c r="U111" t="s">
        <v>14</v>
      </c>
      <c r="V111" t="s">
        <v>15</v>
      </c>
      <c r="W111" t="s">
        <v>16</v>
      </c>
    </row>
    <row r="112" spans="1:23" ht="12.75">
      <c r="A112">
        <v>1</v>
      </c>
      <c r="B112">
        <v>3004</v>
      </c>
      <c r="C112">
        <v>804</v>
      </c>
      <c r="D112" s="2">
        <f>100*SUM(B112:B$124)/$D$110</f>
        <v>33.28856837999926</v>
      </c>
      <c r="E112" s="2">
        <f>1000*SUM(C112:C$124)/(A112*SUM(B112:B$124))</f>
        <v>86087.92484111633</v>
      </c>
      <c r="F112" s="3">
        <f>E112/(E112-1)</f>
        <v>1.000011616165891</v>
      </c>
      <c r="G112" s="4">
        <f>(A112)*(D112/100)^(1/F112)</f>
        <v>0.33288993714901544</v>
      </c>
      <c r="I112" s="5">
        <f>$E112*$G112/(0.2^(1/$F112))</f>
        <v>143286.34064485488</v>
      </c>
      <c r="J112" s="5">
        <f>$E112*$G112/(0.1^(1/$F112))</f>
        <v>286570.3739249225</v>
      </c>
      <c r="K112" s="5">
        <f>$E112*$G112/(0.05^(1/$F112))</f>
        <v>573136.1331574263</v>
      </c>
      <c r="L112" s="5">
        <f>$E112*$G112/(0.01^(1/$F112))</f>
        <v>2865627.0915837265</v>
      </c>
      <c r="M112" s="5">
        <f>$E112*$G112/(0.005^(1/$F112))</f>
        <v>5731208.037477537</v>
      </c>
      <c r="N112" s="5">
        <f>$E112*$G112/(0.001^(1/$F112))</f>
        <v>28655504.45968287</v>
      </c>
      <c r="O112" s="5">
        <f>$E112*$G112/(0.0001^(1/$F112))</f>
        <v>286547380.2402855</v>
      </c>
      <c r="Q112" s="5">
        <f>$G112/(0.2^(1/$F112))</f>
        <v>1.6644185686820052</v>
      </c>
      <c r="R112" s="5">
        <f>$G112/(0.1^(1/$F112))</f>
        <v>3.328810334943212</v>
      </c>
      <c r="S112" s="5">
        <f>$G112/(0.05^(1/$F112))</f>
        <v>6.65756706547643</v>
      </c>
      <c r="T112" s="5">
        <f>$G112/(0.01^(1/$F112))</f>
        <v>33.287213007776884</v>
      </c>
      <c r="U112" s="5">
        <f>$G112/(0.005^(1/$F112))</f>
        <v>66.57388998579117</v>
      </c>
      <c r="V112" s="5">
        <f>$G112/(0.001^(1/$F112))</f>
        <v>332.86322689935207</v>
      </c>
      <c r="W112" s="5">
        <f>$G112/(0.0001^(1/$F112))</f>
        <v>3328.5432395906478</v>
      </c>
    </row>
    <row r="113" spans="1:23" ht="12.75">
      <c r="A113">
        <v>500</v>
      </c>
      <c r="B113">
        <v>3849</v>
      </c>
      <c r="C113">
        <v>4677</v>
      </c>
      <c r="D113" s="2">
        <f>100*SUM(B113:B$124)/$D$110</f>
        <v>27.762242908127597</v>
      </c>
      <c r="E113" s="2">
        <f>1000*SUM(C113:C$124)/(A113*SUM(B113:B$124))</f>
        <v>206.34245576833874</v>
      </c>
      <c r="F113" s="3">
        <f aca="true" t="shared" si="96" ref="F113:F124">E113/(E113-1)</f>
        <v>1.0048699135123238</v>
      </c>
      <c r="G113" s="4">
        <f aca="true" t="shared" si="97" ref="G113:G124">(A113)*(D113/100)^(1/F113)</f>
        <v>139.67598646043638</v>
      </c>
      <c r="I113" s="5">
        <f aca="true" t="shared" si="98" ref="I113:I124">$E113*$G113/(0.2^(1/$F113))</f>
        <v>142985.80328164346</v>
      </c>
      <c r="J113" s="5">
        <f aca="true" t="shared" si="99" ref="J113:J124">$E113*$G113/(0.1^(1/$F113))</f>
        <v>285012.58020693134</v>
      </c>
      <c r="K113" s="5">
        <f aca="true" t="shared" si="100" ref="K113:K124">$E113*$G113/(0.05^(1/$F113))</f>
        <v>568113.5400289147</v>
      </c>
      <c r="L113" s="5">
        <f aca="true" t="shared" si="101" ref="L113:L124">$E113*$G113/(0.01^(1/$F113))</f>
        <v>2818497.911994879</v>
      </c>
      <c r="M113" s="5">
        <f aca="true" t="shared" si="102" ref="M113:M124">$E113*$G113/(0.005^(1/$F113))</f>
        <v>5618091.752949836</v>
      </c>
      <c r="N113" s="5">
        <f aca="true" t="shared" si="103" ref="N113:N124">$E113*$G113/(0.001^(1/$F113))</f>
        <v>27872209.971054118</v>
      </c>
      <c r="O113" s="5">
        <f aca="true" t="shared" si="104" ref="O113:O124">$E113*$G113/(0.0001^(1/$F113))</f>
        <v>275629116.26238596</v>
      </c>
      <c r="Q113" s="5">
        <f aca="true" t="shared" si="105" ref="Q113:Q124">$G113/(0.2^(1/$F113))</f>
        <v>692.9538700565532</v>
      </c>
      <c r="R113" s="5">
        <f aca="true" t="shared" si="106" ref="R113:R124">$G113/(0.1^(1/$F113))</f>
        <v>1381.2599987998387</v>
      </c>
      <c r="S113" s="5">
        <f aca="true" t="shared" si="107" ref="S113:S124">$G113/(0.05^(1/$F113))</f>
        <v>2753.255688042879</v>
      </c>
      <c r="T113" s="5">
        <f aca="true" t="shared" si="108" ref="T113:T124">$G113/(0.01^(1/$F113))</f>
        <v>13659.32135245698</v>
      </c>
      <c r="U113" s="5">
        <f aca="true" t="shared" si="109" ref="U113:U124">$G113/(0.005^(1/$F113))</f>
        <v>27227.027671209282</v>
      </c>
      <c r="V113" s="5">
        <f aca="true" t="shared" si="110" ref="V113:V124">$G113/(0.001^(1/$F113))</f>
        <v>135077.43652303107</v>
      </c>
      <c r="W113" s="5">
        <f aca="true" t="shared" si="111" ref="W113:W124">$G113/(0.0001^(1/$F113))</f>
        <v>1335784.8012230482</v>
      </c>
    </row>
    <row r="114" spans="1:23" ht="12.75">
      <c r="A114">
        <v>2000</v>
      </c>
      <c r="B114">
        <v>4434</v>
      </c>
      <c r="C114">
        <v>23189</v>
      </c>
      <c r="D114" s="2">
        <f>100*SUM(B114:B$124)/$D$110</f>
        <v>20.68140844033997</v>
      </c>
      <c r="E114" s="2">
        <f>1000*SUM(C114:C$124)/(A114*SUM(B114:B$124))</f>
        <v>69.03931684753603</v>
      </c>
      <c r="F114" s="3">
        <f t="shared" si="96"/>
        <v>1.0146973844878664</v>
      </c>
      <c r="G114" s="4">
        <f t="shared" si="97"/>
        <v>423.1784926974866</v>
      </c>
      <c r="I114" s="5">
        <f t="shared" si="98"/>
        <v>142713.7591509528</v>
      </c>
      <c r="J114" s="5">
        <f t="shared" si="99"/>
        <v>282576.19471492554</v>
      </c>
      <c r="K114" s="5">
        <f t="shared" si="100"/>
        <v>559506.7097567543</v>
      </c>
      <c r="L114" s="5">
        <f t="shared" si="101"/>
        <v>2733071.995839641</v>
      </c>
      <c r="M114" s="5">
        <f t="shared" si="102"/>
        <v>5411539.076967382</v>
      </c>
      <c r="N114" s="5">
        <f t="shared" si="103"/>
        <v>26434224.376114216</v>
      </c>
      <c r="O114" s="5">
        <f t="shared" si="104"/>
        <v>255671354.22353852</v>
      </c>
      <c r="Q114" s="5">
        <f t="shared" si="105"/>
        <v>2067.1374756809487</v>
      </c>
      <c r="R114" s="5">
        <f t="shared" si="106"/>
        <v>4092.974954241751</v>
      </c>
      <c r="S114" s="5">
        <f t="shared" si="107"/>
        <v>8104.175060021945</v>
      </c>
      <c r="T114" s="5">
        <f t="shared" si="108"/>
        <v>39587.181922371274</v>
      </c>
      <c r="U114" s="5">
        <f t="shared" si="109"/>
        <v>78383.43894563777</v>
      </c>
      <c r="V114" s="5">
        <f t="shared" si="110"/>
        <v>382886.5287657845</v>
      </c>
      <c r="W114" s="5">
        <f t="shared" si="111"/>
        <v>3703271.786251217</v>
      </c>
    </row>
    <row r="115" spans="1:23" ht="12.75">
      <c r="A115">
        <v>10000</v>
      </c>
      <c r="B115">
        <v>3559</v>
      </c>
      <c r="C115">
        <v>85191</v>
      </c>
      <c r="D115" s="2">
        <f>100*SUM(B115:B$124)/$D$110</f>
        <v>12.52437543691821</v>
      </c>
      <c r="E115" s="2">
        <f>1000*SUM(C115:C$124)/(A115*SUM(B115:B$124))</f>
        <v>22.460208578143362</v>
      </c>
      <c r="F115" s="3">
        <f t="shared" si="96"/>
        <v>1.0465978695574503</v>
      </c>
      <c r="G115" s="4">
        <f t="shared" si="97"/>
        <v>1373.8105588599187</v>
      </c>
      <c r="I115" s="5">
        <f t="shared" si="98"/>
        <v>143611.84749072773</v>
      </c>
      <c r="J115" s="5">
        <f t="shared" si="99"/>
        <v>278495.0311412056</v>
      </c>
      <c r="K115" s="5">
        <f t="shared" si="100"/>
        <v>540063.2588850212</v>
      </c>
      <c r="L115" s="5">
        <f t="shared" si="101"/>
        <v>2513588.9988625157</v>
      </c>
      <c r="M115" s="5">
        <f t="shared" si="102"/>
        <v>4874403.182924062</v>
      </c>
      <c r="N115" s="5">
        <f t="shared" si="103"/>
        <v>22686687.189040646</v>
      </c>
      <c r="O115" s="5">
        <f t="shared" si="104"/>
        <v>204761309.7631688</v>
      </c>
      <c r="Q115" s="5">
        <f t="shared" si="105"/>
        <v>6394.056715505319</v>
      </c>
      <c r="R115" s="5">
        <f t="shared" si="106"/>
        <v>12399.485524467329</v>
      </c>
      <c r="S115" s="5">
        <f t="shared" si="107"/>
        <v>24045.335866140238</v>
      </c>
      <c r="T115" s="5">
        <f t="shared" si="108"/>
        <v>111912.98558592005</v>
      </c>
      <c r="U115" s="5">
        <f t="shared" si="109"/>
        <v>217023.94997646977</v>
      </c>
      <c r="V115" s="5">
        <f t="shared" si="110"/>
        <v>1010083.5488730803</v>
      </c>
      <c r="W115" s="5">
        <f t="shared" si="111"/>
        <v>9116625.477932008</v>
      </c>
    </row>
    <row r="116" spans="1:23" ht="12.75">
      <c r="A116">
        <v>50000</v>
      </c>
      <c r="B116">
        <v>1134</v>
      </c>
      <c r="C116">
        <v>80749</v>
      </c>
      <c r="D116" s="2">
        <f>100*SUM(B116:B$124)/$D$110</f>
        <v>5.977041097906472</v>
      </c>
      <c r="E116" s="2">
        <f>1000*SUM(C116:C$124)/(A116*SUM(B116:B$124))</f>
        <v>8.888273314866113</v>
      </c>
      <c r="F116" s="3">
        <f t="shared" si="96"/>
        <v>1.126770455343556</v>
      </c>
      <c r="G116" s="4">
        <f t="shared" si="97"/>
        <v>4103.090319717491</v>
      </c>
      <c r="I116" s="5">
        <f t="shared" si="98"/>
        <v>152145.42953476714</v>
      </c>
      <c r="J116" s="5">
        <f t="shared" si="99"/>
        <v>281462.5943071063</v>
      </c>
      <c r="K116" s="5">
        <f t="shared" si="100"/>
        <v>520693.8666270204</v>
      </c>
      <c r="L116" s="5">
        <f t="shared" si="101"/>
        <v>2172265.4508392033</v>
      </c>
      <c r="M116" s="5">
        <f t="shared" si="102"/>
        <v>4018598.989049377</v>
      </c>
      <c r="N116" s="5">
        <f t="shared" si="103"/>
        <v>16765059.671698313</v>
      </c>
      <c r="O116" s="5">
        <f t="shared" si="104"/>
        <v>129388986.82342021</v>
      </c>
      <c r="Q116" s="5">
        <f t="shared" si="105"/>
        <v>17117.546248301765</v>
      </c>
      <c r="R116" s="5">
        <f t="shared" si="106"/>
        <v>31666.734846727206</v>
      </c>
      <c r="S116" s="5">
        <f t="shared" si="107"/>
        <v>58582.11692884511</v>
      </c>
      <c r="T116" s="5">
        <f t="shared" si="108"/>
        <v>244396.7882047431</v>
      </c>
      <c r="U116" s="5">
        <f t="shared" si="109"/>
        <v>452123.6967733716</v>
      </c>
      <c r="V116" s="5">
        <f t="shared" si="110"/>
        <v>1886199.8363234233</v>
      </c>
      <c r="W116" s="5">
        <f t="shared" si="111"/>
        <v>14557269.138766266</v>
      </c>
    </row>
    <row r="117" spans="1:23" ht="12.75">
      <c r="A117">
        <v>100000</v>
      </c>
      <c r="B117">
        <v>1016</v>
      </c>
      <c r="C117">
        <v>162800</v>
      </c>
      <c r="D117" s="2">
        <f>100*SUM(B117:B$124)/$D$110</f>
        <v>3.890871628831083</v>
      </c>
      <c r="E117" s="2">
        <f>1000*SUM(C117:C$124)/(A117*SUM(B117:B$124))</f>
        <v>6.445158392434988</v>
      </c>
      <c r="F117" s="3">
        <f t="shared" si="96"/>
        <v>1.1836493868368108</v>
      </c>
      <c r="G117" s="4">
        <f t="shared" si="97"/>
        <v>6438.852735887467</v>
      </c>
      <c r="I117" s="5">
        <f t="shared" si="98"/>
        <v>161645.36018169025</v>
      </c>
      <c r="J117" s="5">
        <f t="shared" si="99"/>
        <v>290326.6228114157</v>
      </c>
      <c r="K117" s="5">
        <f t="shared" si="100"/>
        <v>521447.36983690807</v>
      </c>
      <c r="L117" s="5">
        <f t="shared" si="101"/>
        <v>2031101.5488308757</v>
      </c>
      <c r="M117" s="5">
        <f t="shared" si="102"/>
        <v>3648003.583872108</v>
      </c>
      <c r="N117" s="5">
        <f t="shared" si="103"/>
        <v>14209422.001036586</v>
      </c>
      <c r="O117" s="5">
        <f t="shared" si="104"/>
        <v>99407965.94821316</v>
      </c>
      <c r="Q117" s="5">
        <f t="shared" si="105"/>
        <v>25080.122215680796</v>
      </c>
      <c r="R117" s="5">
        <f t="shared" si="106"/>
        <v>45045.69246152072</v>
      </c>
      <c r="S117" s="5">
        <f t="shared" si="107"/>
        <v>80905.28394910473</v>
      </c>
      <c r="T117" s="5">
        <f t="shared" si="108"/>
        <v>315136.01763687975</v>
      </c>
      <c r="U117" s="5">
        <f t="shared" si="109"/>
        <v>566006.8165514686</v>
      </c>
      <c r="V117" s="5">
        <f t="shared" si="110"/>
        <v>2204666.066502712</v>
      </c>
      <c r="W117" s="5">
        <f t="shared" si="111"/>
        <v>15423665.31517571</v>
      </c>
    </row>
    <row r="118" spans="1:23" ht="12.75">
      <c r="A118">
        <v>250000</v>
      </c>
      <c r="B118">
        <v>471</v>
      </c>
      <c r="C118">
        <v>166171</v>
      </c>
      <c r="D118" s="2">
        <f>100*SUM(B118:B$124)/$D$110</f>
        <v>2.0217815224989883</v>
      </c>
      <c r="E118" s="2">
        <f>1000*SUM(C118:C$124)/(A118*SUM(B118:B$124))</f>
        <v>4.368884440400364</v>
      </c>
      <c r="F118" s="3">
        <f t="shared" si="96"/>
        <v>1.2968341650451978</v>
      </c>
      <c r="G118" s="4">
        <f t="shared" si="97"/>
        <v>12344.601302744322</v>
      </c>
      <c r="I118" s="5">
        <f t="shared" si="98"/>
        <v>186564.67637603538</v>
      </c>
      <c r="J118" s="5">
        <f t="shared" si="99"/>
        <v>318387.6715580649</v>
      </c>
      <c r="K118" s="5">
        <f t="shared" si="100"/>
        <v>543354.2478097292</v>
      </c>
      <c r="L118" s="5">
        <f t="shared" si="101"/>
        <v>1879597.506724351</v>
      </c>
      <c r="M118" s="5">
        <f t="shared" si="102"/>
        <v>3207684.783941134</v>
      </c>
      <c r="N118" s="5">
        <f t="shared" si="103"/>
        <v>11096179.603926973</v>
      </c>
      <c r="O118" s="5">
        <f t="shared" si="104"/>
        <v>65506152.97270741</v>
      </c>
      <c r="Q118" s="5">
        <f t="shared" si="105"/>
        <v>42703.046720763945</v>
      </c>
      <c r="R118" s="5">
        <f t="shared" si="106"/>
        <v>72876.1943469688</v>
      </c>
      <c r="S118" s="5">
        <f t="shared" si="107"/>
        <v>124369.10502488281</v>
      </c>
      <c r="T118" s="5">
        <f t="shared" si="108"/>
        <v>430223.67205302074</v>
      </c>
      <c r="U118" s="5">
        <f t="shared" si="109"/>
        <v>734211.405153848</v>
      </c>
      <c r="V118" s="5">
        <f t="shared" si="110"/>
        <v>2539819.891164281</v>
      </c>
      <c r="W118" s="5">
        <f t="shared" si="111"/>
        <v>14993793.922986995</v>
      </c>
    </row>
    <row r="119" spans="1:23" ht="12.75">
      <c r="A119">
        <v>500000</v>
      </c>
      <c r="B119">
        <v>282</v>
      </c>
      <c r="C119">
        <v>198147</v>
      </c>
      <c r="D119" s="2">
        <f>100*SUM(B119:B$124)/$D$110</f>
        <v>1.155303727142279</v>
      </c>
      <c r="E119" s="2">
        <f>1000*SUM(C119:C$124)/(A119*SUM(B119:B$124))</f>
        <v>3.293566878980892</v>
      </c>
      <c r="F119" s="3">
        <f t="shared" si="96"/>
        <v>1.4360021105834653</v>
      </c>
      <c r="G119" s="4">
        <f t="shared" si="97"/>
        <v>22380.748947119842</v>
      </c>
      <c r="I119" s="5">
        <f t="shared" si="98"/>
        <v>226093.61651385692</v>
      </c>
      <c r="J119" s="5">
        <f t="shared" si="99"/>
        <v>366369.1600518937</v>
      </c>
      <c r="K119" s="5">
        <f t="shared" si="100"/>
        <v>593676.0334359267</v>
      </c>
      <c r="L119" s="5">
        <f t="shared" si="101"/>
        <v>1820944.52566242</v>
      </c>
      <c r="M119" s="5">
        <f t="shared" si="102"/>
        <v>2950715.4012335725</v>
      </c>
      <c r="N119" s="5">
        <f t="shared" si="103"/>
        <v>9050540.621569429</v>
      </c>
      <c r="O119" s="5">
        <f t="shared" si="104"/>
        <v>44983405.25386432</v>
      </c>
      <c r="Q119" s="5">
        <f t="shared" si="105"/>
        <v>68647.03976614425</v>
      </c>
      <c r="R119" s="5">
        <f t="shared" si="106"/>
        <v>111237.80797955349</v>
      </c>
      <c r="S119" s="5">
        <f t="shared" si="107"/>
        <v>180253.21945781293</v>
      </c>
      <c r="T119" s="5">
        <f t="shared" si="108"/>
        <v>552879.170993444</v>
      </c>
      <c r="U119" s="5">
        <f t="shared" si="109"/>
        <v>895902.6823061187</v>
      </c>
      <c r="V119" s="5">
        <f t="shared" si="110"/>
        <v>2747944.9952356466</v>
      </c>
      <c r="W119" s="5">
        <f t="shared" si="111"/>
        <v>13657960.171066348</v>
      </c>
    </row>
    <row r="120" spans="1:23" ht="12.75">
      <c r="A120">
        <v>1000000</v>
      </c>
      <c r="B120">
        <v>230</v>
      </c>
      <c r="C120">
        <v>259844</v>
      </c>
      <c r="D120" s="2">
        <f>100*SUM(B120:B$124)/$D$110</f>
        <v>0.6365208432981346</v>
      </c>
      <c r="E120" s="2">
        <f>1000*SUM(C120:C$124)/(A120*SUM(B120:B$124))</f>
        <v>2.4162803468208094</v>
      </c>
      <c r="F120" s="3">
        <f t="shared" si="96"/>
        <v>1.7060748969967328</v>
      </c>
      <c r="G120" s="4">
        <f t="shared" si="97"/>
        <v>51608.96063997862</v>
      </c>
      <c r="I120" s="5">
        <f t="shared" si="98"/>
        <v>320307.5892932273</v>
      </c>
      <c r="J120" s="5">
        <f t="shared" si="99"/>
        <v>480853.93326389475</v>
      </c>
      <c r="K120" s="5">
        <f t="shared" si="100"/>
        <v>721870.2049662835</v>
      </c>
      <c r="L120" s="5">
        <f t="shared" si="101"/>
        <v>1854188.6199748015</v>
      </c>
      <c r="M120" s="5">
        <f t="shared" si="102"/>
        <v>2783555.3097426672</v>
      </c>
      <c r="N120" s="5">
        <f t="shared" si="103"/>
        <v>7149812.449505874</v>
      </c>
      <c r="O120" s="5">
        <f t="shared" si="104"/>
        <v>27569912.52799504</v>
      </c>
      <c r="Q120" s="5">
        <f t="shared" si="105"/>
        <v>132562.26236937614</v>
      </c>
      <c r="R120" s="5">
        <f t="shared" si="106"/>
        <v>199005.85372743368</v>
      </c>
      <c r="S120" s="5">
        <f t="shared" si="107"/>
        <v>298752.669952423</v>
      </c>
      <c r="T120" s="5">
        <f t="shared" si="108"/>
        <v>767373.1330118324</v>
      </c>
      <c r="U120" s="5">
        <f t="shared" si="109"/>
        <v>1152000.144935622</v>
      </c>
      <c r="V120" s="5">
        <f t="shared" si="110"/>
        <v>2959016.1004757374</v>
      </c>
      <c r="W120" s="5">
        <f t="shared" si="111"/>
        <v>11410063.639457153</v>
      </c>
    </row>
    <row r="121" spans="1:23" ht="12.75">
      <c r="A121">
        <v>2000000</v>
      </c>
      <c r="B121">
        <v>87</v>
      </c>
      <c r="C121">
        <v>265373</v>
      </c>
      <c r="D121" s="2">
        <f>100*SUM(B121:B$124)/$D$110</f>
        <v>0.21340005151035726</v>
      </c>
      <c r="E121" s="2">
        <f>1000*SUM(C121:C$124)/(A121*SUM(B121:B$124))</f>
        <v>2.483573275862069</v>
      </c>
      <c r="F121" s="3">
        <f t="shared" si="96"/>
        <v>1.6740482699911967</v>
      </c>
      <c r="G121" s="4">
        <f t="shared" si="97"/>
        <v>50770.65308528092</v>
      </c>
      <c r="I121" s="5">
        <f t="shared" si="98"/>
        <v>329778.61812616256</v>
      </c>
      <c r="J121" s="5">
        <f t="shared" si="99"/>
        <v>498935.11237150175</v>
      </c>
      <c r="K121" s="5">
        <f t="shared" si="100"/>
        <v>754858.6617642026</v>
      </c>
      <c r="L121" s="5">
        <f t="shared" si="101"/>
        <v>1974233.0074435514</v>
      </c>
      <c r="M121" s="5">
        <f t="shared" si="102"/>
        <v>2986895.1874846593</v>
      </c>
      <c r="N121" s="5">
        <f t="shared" si="103"/>
        <v>7811829.376276698</v>
      </c>
      <c r="O121" s="5">
        <f t="shared" si="104"/>
        <v>30910575.38495966</v>
      </c>
      <c r="Q121" s="5">
        <f t="shared" si="105"/>
        <v>132783.92924070003</v>
      </c>
      <c r="R121" s="5">
        <f t="shared" si="106"/>
        <v>200894.0574536973</v>
      </c>
      <c r="S121" s="5">
        <f t="shared" si="107"/>
        <v>303940.5638241879</v>
      </c>
      <c r="T121" s="5">
        <f t="shared" si="108"/>
        <v>794916.3516257755</v>
      </c>
      <c r="U121" s="5">
        <f t="shared" si="109"/>
        <v>1202660.3831319949</v>
      </c>
      <c r="V121" s="5">
        <f t="shared" si="110"/>
        <v>3145399.192445871</v>
      </c>
      <c r="W121" s="5">
        <f t="shared" si="111"/>
        <v>12446009.016677933</v>
      </c>
    </row>
    <row r="122" spans="1:23" ht="12.75">
      <c r="A122">
        <v>5000000</v>
      </c>
      <c r="B122">
        <v>21</v>
      </c>
      <c r="C122">
        <v>144811</v>
      </c>
      <c r="D122" s="2">
        <f>100*SUM(B122:B$124)/$D$110</f>
        <v>0.053350012877589316</v>
      </c>
      <c r="E122" s="2">
        <f>1000*SUM(C122:C$124)/(A122*SUM(B122:B$124))</f>
        <v>2.1435586206896553</v>
      </c>
      <c r="F122" s="3">
        <f t="shared" si="96"/>
        <v>1.8744632604814975</v>
      </c>
      <c r="G122" s="4">
        <f t="shared" si="97"/>
        <v>89730.88126022463</v>
      </c>
      <c r="I122" s="5">
        <f t="shared" si="98"/>
        <v>453908.2165097924</v>
      </c>
      <c r="J122" s="5">
        <f t="shared" si="99"/>
        <v>656996.9410187204</v>
      </c>
      <c r="K122" s="5">
        <f t="shared" si="100"/>
        <v>950952.1194107839</v>
      </c>
      <c r="L122" s="5">
        <f t="shared" si="101"/>
        <v>2244137.1597885625</v>
      </c>
      <c r="M122" s="5">
        <f t="shared" si="102"/>
        <v>3248214.497072708</v>
      </c>
      <c r="N122" s="5">
        <f t="shared" si="103"/>
        <v>7665411.020232403</v>
      </c>
      <c r="O122" s="5">
        <f t="shared" si="104"/>
        <v>26183126.041474417</v>
      </c>
      <c r="Q122" s="5">
        <f t="shared" si="105"/>
        <v>211754.51519201038</v>
      </c>
      <c r="R122" s="5">
        <f t="shared" si="106"/>
        <v>306498.23833944986</v>
      </c>
      <c r="S122" s="5">
        <f t="shared" si="107"/>
        <v>443632.42984455003</v>
      </c>
      <c r="T122" s="5">
        <f t="shared" si="108"/>
        <v>1046921.2915980566</v>
      </c>
      <c r="U122" s="5">
        <f t="shared" si="109"/>
        <v>1515337.3766972828</v>
      </c>
      <c r="V122" s="5">
        <f t="shared" si="110"/>
        <v>3576021.176302695</v>
      </c>
      <c r="W122" s="5">
        <f t="shared" si="111"/>
        <v>12214793.56279532</v>
      </c>
    </row>
    <row r="123" spans="1:23" ht="12.75">
      <c r="A123">
        <v>10000000</v>
      </c>
      <c r="B123">
        <v>8</v>
      </c>
      <c r="C123">
        <v>166005</v>
      </c>
      <c r="D123" s="2">
        <f>100*SUM(B123:B$124)/$D$110</f>
        <v>0.014717244931748776</v>
      </c>
      <c r="E123" s="2">
        <f>1000*SUM(C123:C$124)/(A123*SUM(B123:B$124))</f>
        <v>2.0750625</v>
      </c>
      <c r="F123" s="3">
        <f t="shared" si="96"/>
        <v>1.9301784779954654</v>
      </c>
      <c r="G123" s="4">
        <f t="shared" si="97"/>
        <v>103419.27426322982</v>
      </c>
      <c r="I123" s="5">
        <f t="shared" si="98"/>
        <v>494037.3731909739</v>
      </c>
      <c r="J123" s="5">
        <f t="shared" si="99"/>
        <v>707488.642555003</v>
      </c>
      <c r="K123" s="5">
        <f t="shared" si="100"/>
        <v>1013162.5794043588</v>
      </c>
      <c r="L123" s="5">
        <f t="shared" si="101"/>
        <v>2332417.423784872</v>
      </c>
      <c r="M123" s="5">
        <f t="shared" si="102"/>
        <v>3340149.8076286535</v>
      </c>
      <c r="N123" s="5">
        <f t="shared" si="103"/>
        <v>7689411.124861018</v>
      </c>
      <c r="O123" s="5">
        <f t="shared" si="104"/>
        <v>25350112.224418823</v>
      </c>
      <c r="Q123" s="5">
        <f t="shared" si="105"/>
        <v>238083.12915441048</v>
      </c>
      <c r="R123" s="5">
        <f t="shared" si="106"/>
        <v>340948.11243275955</v>
      </c>
      <c r="S123" s="5">
        <f t="shared" si="107"/>
        <v>488256.4160859535</v>
      </c>
      <c r="T123" s="5">
        <f t="shared" si="108"/>
        <v>1124022.733669406</v>
      </c>
      <c r="U123" s="5">
        <f t="shared" si="109"/>
        <v>1609662.2668611926</v>
      </c>
      <c r="V123" s="5">
        <f t="shared" si="110"/>
        <v>3705628.6858159783</v>
      </c>
      <c r="W123" s="5">
        <f t="shared" si="111"/>
        <v>12216553.585455293</v>
      </c>
    </row>
    <row r="124" spans="1:23" ht="12.75">
      <c r="A124">
        <v>50000000</v>
      </c>
      <c r="B124">
        <v>0</v>
      </c>
      <c r="C124">
        <v>0</v>
      </c>
      <c r="D124" s="2">
        <f>100*SUM(B124:B$124)/$D$110</f>
        <v>0</v>
      </c>
      <c r="E124" s="2" t="e">
        <f>1000*SUM(C124:C$124)/(A124*SUM(B124:B$124))</f>
        <v>#DIV/0!</v>
      </c>
      <c r="F124" s="3" t="e">
        <f t="shared" si="96"/>
        <v>#DIV/0!</v>
      </c>
      <c r="G124" s="4" t="e">
        <f t="shared" si="97"/>
        <v>#DIV/0!</v>
      </c>
      <c r="I124" s="5" t="e">
        <f t="shared" si="98"/>
        <v>#DIV/0!</v>
      </c>
      <c r="J124" s="5" t="e">
        <f t="shared" si="99"/>
        <v>#DIV/0!</v>
      </c>
      <c r="K124" s="5" t="e">
        <f t="shared" si="100"/>
        <v>#DIV/0!</v>
      </c>
      <c r="L124" s="5" t="e">
        <f t="shared" si="101"/>
        <v>#DIV/0!</v>
      </c>
      <c r="M124" s="5" t="e">
        <f t="shared" si="102"/>
        <v>#DIV/0!</v>
      </c>
      <c r="N124" s="5" t="e">
        <f t="shared" si="103"/>
        <v>#DIV/0!</v>
      </c>
      <c r="O124" s="5" t="e">
        <f t="shared" si="104"/>
        <v>#DIV/0!</v>
      </c>
      <c r="Q124" s="5" t="e">
        <f t="shared" si="105"/>
        <v>#DIV/0!</v>
      </c>
      <c r="R124" s="5" t="e">
        <f t="shared" si="106"/>
        <v>#DIV/0!</v>
      </c>
      <c r="S124" s="5" t="e">
        <f t="shared" si="107"/>
        <v>#DIV/0!</v>
      </c>
      <c r="T124" s="5" t="e">
        <f t="shared" si="108"/>
        <v>#DIV/0!</v>
      </c>
      <c r="U124" s="5" t="e">
        <f t="shared" si="109"/>
        <v>#DIV/0!</v>
      </c>
      <c r="V124" s="5" t="e">
        <f t="shared" si="110"/>
        <v>#DIV/0!</v>
      </c>
      <c r="W124" s="5" t="e">
        <f t="shared" si="111"/>
        <v>#DIV/0!</v>
      </c>
    </row>
    <row r="125" spans="1:23" ht="12.75">
      <c r="A125" t="s">
        <v>18</v>
      </c>
      <c r="B125">
        <v>18095</v>
      </c>
      <c r="C125">
        <v>1557760</v>
      </c>
      <c r="H125" t="s">
        <v>19</v>
      </c>
      <c r="I125" s="4">
        <f>I114</f>
        <v>142713.7591509528</v>
      </c>
      <c r="J125" s="4">
        <f>J115</f>
        <v>278495.0311412056</v>
      </c>
      <c r="K125" s="4">
        <f>K116</f>
        <v>520693.8666270204</v>
      </c>
      <c r="L125" s="4">
        <f>L119</f>
        <v>1820944.52566242</v>
      </c>
      <c r="M125" s="4">
        <f>M120</f>
        <v>2783555.3097426672</v>
      </c>
      <c r="N125" s="4">
        <f>N122</f>
        <v>7665411.020232403</v>
      </c>
      <c r="O125" s="4">
        <f>O123</f>
        <v>25350112.224418823</v>
      </c>
      <c r="Q125" s="4">
        <f>Q114</f>
        <v>2067.1374756809487</v>
      </c>
      <c r="R125" s="4">
        <f>R115</f>
        <v>12399.485524467329</v>
      </c>
      <c r="S125" s="4">
        <f>S116</f>
        <v>58582.11692884511</v>
      </c>
      <c r="T125" s="4">
        <f>T119</f>
        <v>552879.170993444</v>
      </c>
      <c r="U125" s="4">
        <f>U120</f>
        <v>1152000.144935622</v>
      </c>
      <c r="V125" s="4">
        <f>V122</f>
        <v>3576021.176302695</v>
      </c>
      <c r="W125" s="4">
        <f>W123</f>
        <v>12216553.585455293</v>
      </c>
    </row>
    <row r="126" spans="1:3" ht="12.75">
      <c r="A126" t="s">
        <v>20</v>
      </c>
      <c r="B126">
        <f>B125-SUM(B112:B124)</f>
        <v>0</v>
      </c>
      <c r="C126">
        <f>C125-SUM(C112:C124)</f>
        <v>-1</v>
      </c>
    </row>
    <row r="128" spans="1:4" ht="12.75">
      <c r="A128" s="1">
        <v>1911</v>
      </c>
      <c r="B128" t="s">
        <v>26</v>
      </c>
      <c r="C128" t="s">
        <v>2</v>
      </c>
      <c r="D128">
        <v>57327</v>
      </c>
    </row>
    <row r="129" spans="1:23" ht="12.75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49</v>
      </c>
      <c r="J129" t="s">
        <v>11</v>
      </c>
      <c r="K129" t="s">
        <v>12</v>
      </c>
      <c r="L129" t="s">
        <v>13</v>
      </c>
      <c r="M129" t="s">
        <v>14</v>
      </c>
      <c r="N129" t="s">
        <v>15</v>
      </c>
      <c r="O129" t="s">
        <v>16</v>
      </c>
      <c r="P129" t="s">
        <v>17</v>
      </c>
      <c r="Q129" t="s">
        <v>49</v>
      </c>
      <c r="R129" t="s">
        <v>11</v>
      </c>
      <c r="S129" t="s">
        <v>12</v>
      </c>
      <c r="T129" t="s">
        <v>13</v>
      </c>
      <c r="U129" t="s">
        <v>14</v>
      </c>
      <c r="V129" t="s">
        <v>15</v>
      </c>
      <c r="W129" t="s">
        <v>16</v>
      </c>
    </row>
    <row r="130" spans="1:23" ht="12.75">
      <c r="A130">
        <v>1</v>
      </c>
      <c r="B130">
        <v>2743</v>
      </c>
      <c r="C130">
        <v>689</v>
      </c>
      <c r="D130" s="2">
        <f>100*SUM(B130:B$142)/$D$128</f>
        <v>31.192980619952206</v>
      </c>
      <c r="E130" s="2">
        <f>1000*SUM(C130:C$142)/(A130*SUM(B130:B$142))</f>
        <v>104108.88043842971</v>
      </c>
      <c r="F130" s="3">
        <f>E130/(E130-1)</f>
        <v>1.000009605420798</v>
      </c>
      <c r="G130" s="4">
        <f>(A130)*(D130/100)^(1/F130)</f>
        <v>0.31193329670976117</v>
      </c>
      <c r="I130" s="5">
        <f>$E130*$G130/(0.2^(1/$F130))</f>
        <v>162372.6212926419</v>
      </c>
      <c r="J130" s="5">
        <f>$E130*$G130/(0.1^(1/$F130))</f>
        <v>324743.0804690548</v>
      </c>
      <c r="K130" s="5">
        <f>$E130*$G130/(0.05^(1/$F130))</f>
        <v>649481.8367344424</v>
      </c>
      <c r="L130" s="5">
        <f>$E130*$G130/(0.01^(1/$F130))</f>
        <v>3247358.9817774533</v>
      </c>
      <c r="M130" s="5">
        <f>$E130*$G130/(0.005^(1/$F130))</f>
        <v>6494674.722474614</v>
      </c>
      <c r="N130" s="5">
        <f>$E130*$G130/(0.001^(1/$F130))</f>
        <v>32472871.604528572</v>
      </c>
      <c r="O130" s="5">
        <f>$E130*$G130/(0.0001^(1/$F130))</f>
        <v>324721534.0716716</v>
      </c>
      <c r="Q130" s="5">
        <f>$G130/(0.2^(1/$F130))</f>
        <v>1.5596423725704123</v>
      </c>
      <c r="R130" s="5">
        <f>$G130/(0.1^(1/$F130))</f>
        <v>3.119263977304115</v>
      </c>
      <c r="S130" s="5">
        <f>$G130/(0.05^(1/$F130))</f>
        <v>6.2384864192113545</v>
      </c>
      <c r="T130" s="5">
        <f>$G130/(0.01^(1/$F130))</f>
        <v>31.191949890364544</v>
      </c>
      <c r="U130" s="5">
        <f>$G130/(0.005^(1/$F130))</f>
        <v>62.383484435946684</v>
      </c>
      <c r="V130" s="5">
        <f>$G130/(0.001^(1/$F130))</f>
        <v>311.91260022946</v>
      </c>
      <c r="W130" s="5">
        <f>$G130/(0.0001^(1/$F130))</f>
        <v>3119.057017078508</v>
      </c>
    </row>
    <row r="131" spans="1:23" ht="12.75">
      <c r="A131">
        <v>500</v>
      </c>
      <c r="B131">
        <v>3577</v>
      </c>
      <c r="C131">
        <v>4272</v>
      </c>
      <c r="D131" s="2">
        <f>100*SUM(B131:B$142)/$D$128</f>
        <v>26.408149737471</v>
      </c>
      <c r="E131" s="2">
        <f>1000*SUM(C131:C$142)/(A131*SUM(B131:B$142))</f>
        <v>245.85322676530814</v>
      </c>
      <c r="F131" s="3">
        <f aca="true" t="shared" si="112" ref="F131:F142">E131/(E131-1)</f>
        <v>1.0040840793205412</v>
      </c>
      <c r="G131" s="4">
        <f aca="true" t="shared" si="113" ref="G131:G142">(A131)*(D131/100)^(1/F131)</f>
        <v>132.757797943387</v>
      </c>
      <c r="I131" s="5">
        <f aca="true" t="shared" si="114" ref="I131:I142">$E131*$G131/(0.2^(1/$F131))</f>
        <v>162129.82704379005</v>
      </c>
      <c r="J131" s="5">
        <f aca="true" t="shared" si="115" ref="J131:J142">$E131*$G131/(0.1^(1/$F131))</f>
        <v>323346.7389836471</v>
      </c>
      <c r="K131" s="5">
        <f aca="true" t="shared" si="116" ref="K131:K142">$E131*$G131/(0.05^(1/$F131))</f>
        <v>644872.7881706791</v>
      </c>
      <c r="L131" s="5">
        <f aca="true" t="shared" si="117" ref="L131:L142">$E131*$G131/(0.01^(1/$F131))</f>
        <v>3203325.1087867017</v>
      </c>
      <c r="M131" s="5">
        <f aca="true" t="shared" si="118" ref="M131:M142">$E131*$G131/(0.005^(1/$F131))</f>
        <v>6388613.043735993</v>
      </c>
      <c r="N131" s="5">
        <f aca="true" t="shared" si="119" ref="N131:N142">$E131*$G131/(0.001^(1/$F131))</f>
        <v>31734638.131304283</v>
      </c>
      <c r="O131" s="5">
        <f aca="true" t="shared" si="120" ref="O131:O142">$E131*$G131/(0.0001^(1/$F131))</f>
        <v>314388088.35306674</v>
      </c>
      <c r="Q131" s="5">
        <f aca="true" t="shared" si="121" ref="Q131:Q142">$G131/(0.2^(1/$F131))</f>
        <v>659.4577959253689</v>
      </c>
      <c r="R131" s="5">
        <f aca="true" t="shared" si="122" ref="R131:R142">$G131/(0.1^(1/$F131))</f>
        <v>1315.2023393710197</v>
      </c>
      <c r="S131" s="5">
        <f aca="true" t="shared" si="123" ref="S131:S142">$G131/(0.05^(1/$F131))</f>
        <v>2622.9990822381014</v>
      </c>
      <c r="T131" s="5">
        <f aca="true" t="shared" si="124" ref="T131:T142">$G131/(0.01^(1/$F131))</f>
        <v>13029.420646346043</v>
      </c>
      <c r="U131" s="5">
        <f aca="true" t="shared" si="125" ref="U131:U142">$G131/(0.005^(1/$F131))</f>
        <v>25985.475675023667</v>
      </c>
      <c r="V131" s="5">
        <f aca="true" t="shared" si="126" ref="V131:V142">$G131/(0.001^(1/$F131))</f>
        <v>129079.60797926893</v>
      </c>
      <c r="W131" s="5">
        <f aca="true" t="shared" si="127" ref="W131:W142">$G131/(0.0001^(1/$F131))</f>
        <v>1278763.3194384798</v>
      </c>
    </row>
    <row r="132" spans="1:23" ht="12.75">
      <c r="A132">
        <v>2000</v>
      </c>
      <c r="B132">
        <v>4465</v>
      </c>
      <c r="C132">
        <v>23097</v>
      </c>
      <c r="D132" s="2">
        <f>100*SUM(B132:B$142)/$D$128</f>
        <v>20.168506986236853</v>
      </c>
      <c r="E132" s="2">
        <f>1000*SUM(C132:C$142)/(A132*SUM(B132:B$142))</f>
        <v>80.29380729977512</v>
      </c>
      <c r="F132" s="3">
        <f t="shared" si="112"/>
        <v>1.0126113253235456</v>
      </c>
      <c r="G132" s="4">
        <f t="shared" si="113"/>
        <v>411.49401206194364</v>
      </c>
      <c r="I132" s="5">
        <f t="shared" si="114"/>
        <v>161923.70074514727</v>
      </c>
      <c r="J132" s="5">
        <f t="shared" si="115"/>
        <v>321063.77717241866</v>
      </c>
      <c r="K132" s="5">
        <f t="shared" si="116"/>
        <v>636608.1588912166</v>
      </c>
      <c r="L132" s="5">
        <f t="shared" si="117"/>
        <v>3119873.9657260547</v>
      </c>
      <c r="M132" s="5">
        <f t="shared" si="118"/>
        <v>6186114.294129485</v>
      </c>
      <c r="N132" s="5">
        <f t="shared" si="119"/>
        <v>30316760.26407689</v>
      </c>
      <c r="O132" s="5">
        <f t="shared" si="120"/>
        <v>294597141.74563384</v>
      </c>
      <c r="Q132" s="5">
        <f t="shared" si="121"/>
        <v>2016.6399650300398</v>
      </c>
      <c r="R132" s="5">
        <f t="shared" si="122"/>
        <v>3998.611947416247</v>
      </c>
      <c r="S132" s="5">
        <f t="shared" si="123"/>
        <v>7928.483905545223</v>
      </c>
      <c r="T132" s="5">
        <f t="shared" si="124"/>
        <v>38855.72338197982</v>
      </c>
      <c r="U132" s="5">
        <f t="shared" si="125"/>
        <v>77043.47946827041</v>
      </c>
      <c r="V132" s="5">
        <f t="shared" si="126"/>
        <v>377572.8326207019</v>
      </c>
      <c r="W132" s="5">
        <f t="shared" si="127"/>
        <v>3668989.5728292223</v>
      </c>
    </row>
    <row r="133" spans="1:23" ht="12.75">
      <c r="A133">
        <v>10000</v>
      </c>
      <c r="B133">
        <v>3700</v>
      </c>
      <c r="C133">
        <v>88433</v>
      </c>
      <c r="D133" s="2">
        <f>100*SUM(B133:B$142)/$D$128</f>
        <v>12.379855914316117</v>
      </c>
      <c r="E133" s="2">
        <f>1000*SUM(C133:C$142)/(A133*SUM(B133:B$142))</f>
        <v>25.83650838382415</v>
      </c>
      <c r="F133" s="3">
        <f t="shared" si="112"/>
        <v>1.0402633085354016</v>
      </c>
      <c r="G133" s="4">
        <f t="shared" si="113"/>
        <v>1342.2455133115213</v>
      </c>
      <c r="I133" s="5">
        <f t="shared" si="114"/>
        <v>162922.92873519225</v>
      </c>
      <c r="J133" s="5">
        <f t="shared" si="115"/>
        <v>317220.220083666</v>
      </c>
      <c r="K133" s="5">
        <f t="shared" si="116"/>
        <v>617645.8329784073</v>
      </c>
      <c r="L133" s="5">
        <f t="shared" si="117"/>
        <v>2901722.930591922</v>
      </c>
      <c r="M133" s="5">
        <f t="shared" si="118"/>
        <v>5649819.787859973</v>
      </c>
      <c r="N133" s="5">
        <f t="shared" si="119"/>
        <v>26543061.989245877</v>
      </c>
      <c r="O133" s="5">
        <f t="shared" si="120"/>
        <v>242798556.794405</v>
      </c>
      <c r="Q133" s="5">
        <f t="shared" si="121"/>
        <v>6305.918985446031</v>
      </c>
      <c r="R133" s="5">
        <f t="shared" si="122"/>
        <v>12277.983362576686</v>
      </c>
      <c r="S133" s="5">
        <f t="shared" si="123"/>
        <v>23905.932791023188</v>
      </c>
      <c r="T133" s="5">
        <f t="shared" si="124"/>
        <v>112310.95500538482</v>
      </c>
      <c r="U133" s="5">
        <f t="shared" si="125"/>
        <v>218675.8250738416</v>
      </c>
      <c r="V133" s="5">
        <f t="shared" si="126"/>
        <v>1027347.1010449729</v>
      </c>
      <c r="W133" s="5">
        <f t="shared" si="127"/>
        <v>9397498.810110794</v>
      </c>
    </row>
    <row r="134" spans="1:23" ht="12.75">
      <c r="A134">
        <v>50000</v>
      </c>
      <c r="B134">
        <v>1140</v>
      </c>
      <c r="C134">
        <v>84422</v>
      </c>
      <c r="D134" s="2">
        <f>100*SUM(B134:B$142)/$D$128</f>
        <v>5.925654578122002</v>
      </c>
      <c r="E134" s="2">
        <f>1000*SUM(C134:C$142)/(A134*SUM(B134:B$142))</f>
        <v>10.27485428319105</v>
      </c>
      <c r="F134" s="3">
        <f t="shared" si="112"/>
        <v>1.1078184054936921</v>
      </c>
      <c r="G134" s="4">
        <f t="shared" si="113"/>
        <v>3900.7646614042415</v>
      </c>
      <c r="I134" s="5">
        <f t="shared" si="114"/>
        <v>171343.7165522826</v>
      </c>
      <c r="J134" s="5">
        <f t="shared" si="115"/>
        <v>320332.0844628382</v>
      </c>
      <c r="K134" s="5">
        <f t="shared" si="116"/>
        <v>598870.1914551762</v>
      </c>
      <c r="L134" s="5">
        <f t="shared" si="117"/>
        <v>2560209.227765713</v>
      </c>
      <c r="M134" s="5">
        <f t="shared" si="118"/>
        <v>4786385.956212988</v>
      </c>
      <c r="N134" s="5">
        <f t="shared" si="119"/>
        <v>20462112.93797865</v>
      </c>
      <c r="O134" s="5">
        <f t="shared" si="120"/>
        <v>163540565.88257417</v>
      </c>
      <c r="Q134" s="5">
        <f t="shared" si="121"/>
        <v>16676.023993117746</v>
      </c>
      <c r="R134" s="5">
        <f t="shared" si="122"/>
        <v>31176.314099838797</v>
      </c>
      <c r="S134" s="5">
        <f t="shared" si="123"/>
        <v>58285.03012786141</v>
      </c>
      <c r="T134" s="5">
        <f t="shared" si="124"/>
        <v>249172.3149742413</v>
      </c>
      <c r="U134" s="5">
        <f t="shared" si="125"/>
        <v>465834.9232303162</v>
      </c>
      <c r="V134" s="5">
        <f t="shared" si="126"/>
        <v>1991474.7571119573</v>
      </c>
      <c r="W134" s="5">
        <f t="shared" si="127"/>
        <v>15916582.500845311</v>
      </c>
    </row>
    <row r="135" spans="1:23" ht="12.75">
      <c r="A135">
        <v>100000</v>
      </c>
      <c r="B135">
        <v>1025</v>
      </c>
      <c r="C135">
        <v>166449</v>
      </c>
      <c r="D135" s="2">
        <f>100*SUM(B135:B$142)/$D$128</f>
        <v>3.9370628150784097</v>
      </c>
      <c r="E135" s="2">
        <f>1000*SUM(C135:C$142)/(A135*SUM(B135:B$142))</f>
        <v>7.358272042534337</v>
      </c>
      <c r="F135" s="3">
        <f t="shared" si="112"/>
        <v>1.157275434789577</v>
      </c>
      <c r="G135" s="4">
        <f t="shared" si="113"/>
        <v>6110.693345052108</v>
      </c>
      <c r="I135" s="5">
        <f t="shared" si="114"/>
        <v>180653.0432670261</v>
      </c>
      <c r="J135" s="5">
        <f t="shared" si="115"/>
        <v>328825.0223258898</v>
      </c>
      <c r="K135" s="5">
        <f t="shared" si="116"/>
        <v>598527.9481165416</v>
      </c>
      <c r="L135" s="5">
        <f t="shared" si="117"/>
        <v>2404713.7493435033</v>
      </c>
      <c r="M135" s="5">
        <f t="shared" si="118"/>
        <v>4377064.665035627</v>
      </c>
      <c r="N135" s="5">
        <f t="shared" si="119"/>
        <v>17585791.29829926</v>
      </c>
      <c r="O135" s="5">
        <f t="shared" si="120"/>
        <v>128605766.7661138</v>
      </c>
      <c r="Q135" s="5">
        <f t="shared" si="121"/>
        <v>24551.01445322556</v>
      </c>
      <c r="R135" s="5">
        <f t="shared" si="122"/>
        <v>44687.804477073376</v>
      </c>
      <c r="S135" s="5">
        <f t="shared" si="123"/>
        <v>81340.82902300477</v>
      </c>
      <c r="T135" s="5">
        <f t="shared" si="124"/>
        <v>326804.1376349102</v>
      </c>
      <c r="U135" s="5">
        <f t="shared" si="125"/>
        <v>594849.5298534896</v>
      </c>
      <c r="V135" s="5">
        <f t="shared" si="126"/>
        <v>2389934.9190468853</v>
      </c>
      <c r="W135" s="5">
        <f t="shared" si="127"/>
        <v>17477712.977002054</v>
      </c>
    </row>
    <row r="136" spans="1:23" ht="12.75">
      <c r="A136">
        <v>250000</v>
      </c>
      <c r="B136">
        <v>488</v>
      </c>
      <c r="C136">
        <v>175719</v>
      </c>
      <c r="D136" s="2">
        <f>100*SUM(B136:B$142)/$D$128</f>
        <v>2.149074607078689</v>
      </c>
      <c r="E136" s="2">
        <f>1000*SUM(C136:C$142)/(A136*SUM(B136:B$142))</f>
        <v>4.851665584415584</v>
      </c>
      <c r="F136" s="3">
        <f t="shared" si="112"/>
        <v>1.2596279396752796</v>
      </c>
      <c r="G136" s="4">
        <f t="shared" si="113"/>
        <v>11856.02546235174</v>
      </c>
      <c r="I136" s="5">
        <f t="shared" si="114"/>
        <v>206410.57086274412</v>
      </c>
      <c r="J136" s="5">
        <f t="shared" si="115"/>
        <v>357861.68158043287</v>
      </c>
      <c r="K136" s="5">
        <f t="shared" si="116"/>
        <v>620438.1035733578</v>
      </c>
      <c r="L136" s="5">
        <f t="shared" si="117"/>
        <v>2226385.7578220083</v>
      </c>
      <c r="M136" s="5">
        <f t="shared" si="118"/>
        <v>3859967.7710823934</v>
      </c>
      <c r="N136" s="5">
        <f t="shared" si="119"/>
        <v>13851143.605937017</v>
      </c>
      <c r="O136" s="5">
        <f t="shared" si="120"/>
        <v>86172927.81282145</v>
      </c>
      <c r="Q136" s="5">
        <f t="shared" si="121"/>
        <v>42544.27005970315</v>
      </c>
      <c r="R136" s="5">
        <f t="shared" si="122"/>
        <v>73760.58290784684</v>
      </c>
      <c r="S136" s="5">
        <f t="shared" si="123"/>
        <v>127881.46519544047</v>
      </c>
      <c r="T136" s="5">
        <f t="shared" si="124"/>
        <v>458891.0177514207</v>
      </c>
      <c r="U136" s="5">
        <f t="shared" si="125"/>
        <v>795596.4202234588</v>
      </c>
      <c r="V136" s="5">
        <f t="shared" si="126"/>
        <v>2854925.461150777</v>
      </c>
      <c r="W136" s="5">
        <f t="shared" si="127"/>
        <v>17761514.33223763</v>
      </c>
    </row>
    <row r="137" spans="1:23" ht="12.75">
      <c r="A137">
        <v>500000</v>
      </c>
      <c r="B137">
        <v>343</v>
      </c>
      <c r="C137">
        <v>255703</v>
      </c>
      <c r="D137" s="2">
        <f>100*SUM(B137:B$142)/$D$128</f>
        <v>1.2978177821968706</v>
      </c>
      <c r="E137" s="2">
        <f>1000*SUM(C137:C$142)/(A137*SUM(B137:B$142))</f>
        <v>3.5446075268817205</v>
      </c>
      <c r="F137" s="3">
        <f t="shared" si="112"/>
        <v>1.3929879124524347</v>
      </c>
      <c r="G137" s="4">
        <f t="shared" si="113"/>
        <v>22104.534890269664</v>
      </c>
      <c r="I137" s="5">
        <f t="shared" si="114"/>
        <v>248786.6345422338</v>
      </c>
      <c r="J137" s="5">
        <f t="shared" si="115"/>
        <v>409195.50616130646</v>
      </c>
      <c r="K137" s="5">
        <f t="shared" si="116"/>
        <v>673030.3762929159</v>
      </c>
      <c r="L137" s="5">
        <f t="shared" si="117"/>
        <v>2137037.6552355937</v>
      </c>
      <c r="M137" s="5">
        <f t="shared" si="118"/>
        <v>3514924.371355051</v>
      </c>
      <c r="N137" s="5">
        <f t="shared" si="119"/>
        <v>11160752.919154838</v>
      </c>
      <c r="O137" s="5">
        <f t="shared" si="120"/>
        <v>58287417.35890991</v>
      </c>
      <c r="Q137" s="5">
        <f t="shared" si="121"/>
        <v>70187.35717719857</v>
      </c>
      <c r="R137" s="5">
        <f t="shared" si="122"/>
        <v>115441.69645243797</v>
      </c>
      <c r="S137" s="5">
        <f t="shared" si="123"/>
        <v>189874.44200486632</v>
      </c>
      <c r="T137" s="5">
        <f t="shared" si="124"/>
        <v>602898.2444540479</v>
      </c>
      <c r="U137" s="5">
        <f t="shared" si="125"/>
        <v>991625.8273161253</v>
      </c>
      <c r="V137" s="5">
        <f t="shared" si="126"/>
        <v>3148656.8920574486</v>
      </c>
      <c r="W137" s="5">
        <f t="shared" si="127"/>
        <v>16443969.30178242</v>
      </c>
    </row>
    <row r="138" spans="1:23" ht="12.75">
      <c r="A138">
        <v>1000000</v>
      </c>
      <c r="B138">
        <v>182</v>
      </c>
      <c r="C138">
        <v>264851</v>
      </c>
      <c r="D138" s="2">
        <f>100*SUM(B138:B$142)/$D$128</f>
        <v>0.6994958745442811</v>
      </c>
      <c r="E138" s="2">
        <f>1000*SUM(C138:C$142)/(A138*SUM(B138:B$142))</f>
        <v>2.6506009975062343</v>
      </c>
      <c r="F138" s="3">
        <f t="shared" si="112"/>
        <v>1.6058399343698586</v>
      </c>
      <c r="G138" s="4">
        <f t="shared" si="113"/>
        <v>45487.21757950174</v>
      </c>
      <c r="I138" s="5">
        <f t="shared" si="114"/>
        <v>328474.20731924294</v>
      </c>
      <c r="J138" s="5">
        <f t="shared" si="115"/>
        <v>505779.0087763026</v>
      </c>
      <c r="K138" s="5">
        <f t="shared" si="116"/>
        <v>778789.9324165687</v>
      </c>
      <c r="L138" s="5">
        <f t="shared" si="117"/>
        <v>2121719.03511534</v>
      </c>
      <c r="M138" s="5">
        <f t="shared" si="118"/>
        <v>3266986.955354724</v>
      </c>
      <c r="N138" s="5">
        <f t="shared" si="119"/>
        <v>8900511.064827109</v>
      </c>
      <c r="O138" s="5">
        <f t="shared" si="120"/>
        <v>37337223.2157041</v>
      </c>
      <c r="Q138" s="5">
        <f t="shared" si="121"/>
        <v>123924.42605593277</v>
      </c>
      <c r="R138" s="5">
        <f t="shared" si="122"/>
        <v>190816.7276976636</v>
      </c>
      <c r="S138" s="5">
        <f t="shared" si="123"/>
        <v>293816.35830865445</v>
      </c>
      <c r="T138" s="5">
        <f t="shared" si="124"/>
        <v>800467.153340513</v>
      </c>
      <c r="U138" s="5">
        <f t="shared" si="125"/>
        <v>1232545.7352609483</v>
      </c>
      <c r="V138" s="5">
        <f t="shared" si="126"/>
        <v>3357921.872511547</v>
      </c>
      <c r="W138" s="5">
        <f t="shared" si="127"/>
        <v>14086323.535995077</v>
      </c>
    </row>
    <row r="139" spans="1:23" ht="12.75">
      <c r="A139">
        <v>2000000</v>
      </c>
      <c r="B139">
        <v>189</v>
      </c>
      <c r="C139">
        <v>279859</v>
      </c>
      <c r="D139" s="2">
        <f>100*SUM(B139:B$142)/$D$128</f>
        <v>0.3820189439531111</v>
      </c>
      <c r="E139" s="2">
        <f>1000*SUM(C139:C$142)/(A139*SUM(B139:B$142))</f>
        <v>1.8220091324200913</v>
      </c>
      <c r="F139" s="3">
        <f t="shared" si="112"/>
        <v>2.216531496500389</v>
      </c>
      <c r="G139" s="4">
        <f t="shared" si="113"/>
        <v>162246.26553576763</v>
      </c>
      <c r="I139" s="5">
        <f t="shared" si="114"/>
        <v>611039.5231712175</v>
      </c>
      <c r="J139" s="5">
        <f t="shared" si="115"/>
        <v>835373.2980602905</v>
      </c>
      <c r="K139" s="5">
        <f t="shared" si="116"/>
        <v>1142067.7724582886</v>
      </c>
      <c r="L139" s="5">
        <f t="shared" si="117"/>
        <v>2360673.4730950925</v>
      </c>
      <c r="M139" s="5">
        <f t="shared" si="118"/>
        <v>3227358.4769578124</v>
      </c>
      <c r="N139" s="5">
        <f t="shared" si="119"/>
        <v>6671004.758608709</v>
      </c>
      <c r="O139" s="5">
        <f t="shared" si="120"/>
        <v>18851529.021941673</v>
      </c>
      <c r="Q139" s="5">
        <f t="shared" si="121"/>
        <v>335365.7851097605</v>
      </c>
      <c r="R139" s="5">
        <f t="shared" si="122"/>
        <v>458490.1816330099</v>
      </c>
      <c r="S139" s="5">
        <f t="shared" si="123"/>
        <v>626817.8090530931</v>
      </c>
      <c r="T139" s="5">
        <f t="shared" si="124"/>
        <v>1295643.0519969556</v>
      </c>
      <c r="U139" s="5">
        <f t="shared" si="125"/>
        <v>1771318.4964507066</v>
      </c>
      <c r="V139" s="5">
        <f t="shared" si="126"/>
        <v>3661345.40157212</v>
      </c>
      <c r="W139" s="5">
        <f t="shared" si="127"/>
        <v>10346561.214488562</v>
      </c>
    </row>
    <row r="140" spans="1:23" ht="12.75">
      <c r="A140">
        <v>5000000</v>
      </c>
      <c r="B140">
        <v>24</v>
      </c>
      <c r="C140">
        <v>160910</v>
      </c>
      <c r="D140" s="2">
        <f>100*SUM(B140:B$142)/$D$128</f>
        <v>0.05233136218535769</v>
      </c>
      <c r="E140" s="2">
        <f>1000*SUM(C140:C$142)/(A140*SUM(B140:B$142))</f>
        <v>3.45454</v>
      </c>
      <c r="F140" s="3">
        <f t="shared" si="112"/>
        <v>1.4074083127592134</v>
      </c>
      <c r="G140" s="4">
        <f t="shared" si="113"/>
        <v>23311.25122707885</v>
      </c>
      <c r="I140" s="5">
        <f t="shared" si="114"/>
        <v>252692.337667058</v>
      </c>
      <c r="J140" s="5">
        <f t="shared" si="115"/>
        <v>413505.86070321425</v>
      </c>
      <c r="K140" s="5">
        <f t="shared" si="116"/>
        <v>676661.1857506933</v>
      </c>
      <c r="L140" s="5">
        <f t="shared" si="117"/>
        <v>2123281.266351602</v>
      </c>
      <c r="M140" s="5">
        <f t="shared" si="118"/>
        <v>3474538.4670687965</v>
      </c>
      <c r="N140" s="5">
        <f t="shared" si="119"/>
        <v>10902683.04389385</v>
      </c>
      <c r="O140" s="5">
        <f t="shared" si="120"/>
        <v>55983396.75452417</v>
      </c>
      <c r="Q140" s="5">
        <f t="shared" si="121"/>
        <v>73147.89745293382</v>
      </c>
      <c r="R140" s="5">
        <f t="shared" si="122"/>
        <v>119699.25393922614</v>
      </c>
      <c r="S140" s="5">
        <f t="shared" si="123"/>
        <v>195875.91567927809</v>
      </c>
      <c r="T140" s="5">
        <f t="shared" si="124"/>
        <v>614635.0212623393</v>
      </c>
      <c r="U140" s="5">
        <f t="shared" si="125"/>
        <v>1005789.0390815553</v>
      </c>
      <c r="V140" s="5">
        <f t="shared" si="126"/>
        <v>3156044.811724238</v>
      </c>
      <c r="W140" s="5">
        <f t="shared" si="127"/>
        <v>16205745.701171262</v>
      </c>
    </row>
    <row r="141" spans="1:23" ht="12.75">
      <c r="A141">
        <v>10000000</v>
      </c>
      <c r="B141">
        <v>3</v>
      </c>
      <c r="C141">
        <v>141292</v>
      </c>
      <c r="D141" s="2">
        <f>100*SUM(B141:B$142)/$D$128</f>
        <v>0.010466272437071537</v>
      </c>
      <c r="E141" s="2">
        <f>1000*SUM(C141:C$142)/(A141*SUM(B141:B$142))</f>
        <v>5.954516666666667</v>
      </c>
      <c r="F141" s="3">
        <f t="shared" si="112"/>
        <v>1.2018360351329258</v>
      </c>
      <c r="G141" s="4">
        <f t="shared" si="113"/>
        <v>4877.835373224921</v>
      </c>
      <c r="I141" s="5">
        <f t="shared" si="114"/>
        <v>110830.3782110133</v>
      </c>
      <c r="J141" s="5">
        <f t="shared" si="115"/>
        <v>197303.10085606808</v>
      </c>
      <c r="K141" s="5">
        <f t="shared" si="116"/>
        <v>351244.07437555253</v>
      </c>
      <c r="L141" s="5">
        <f t="shared" si="117"/>
        <v>1340275.7737699603</v>
      </c>
      <c r="M141" s="5">
        <f t="shared" si="118"/>
        <v>2385993.537472216</v>
      </c>
      <c r="N141" s="5">
        <f t="shared" si="119"/>
        <v>9104464.86629265</v>
      </c>
      <c r="O141" s="5">
        <f t="shared" si="120"/>
        <v>61846436.47508344</v>
      </c>
      <c r="Q141" s="5">
        <f t="shared" si="121"/>
        <v>18612.825257747754</v>
      </c>
      <c r="R141" s="5">
        <f t="shared" si="122"/>
        <v>33135.032094304</v>
      </c>
      <c r="S141" s="5">
        <f t="shared" si="123"/>
        <v>58987.839658223456</v>
      </c>
      <c r="T141" s="5">
        <f t="shared" si="124"/>
        <v>225085.5692910917</v>
      </c>
      <c r="U141" s="5">
        <f t="shared" si="125"/>
        <v>400703.1420079798</v>
      </c>
      <c r="V141" s="5">
        <f t="shared" si="126"/>
        <v>1529001.4918019064</v>
      </c>
      <c r="W141" s="5">
        <f t="shared" si="127"/>
        <v>10386474.660705756</v>
      </c>
    </row>
    <row r="142" spans="1:23" ht="12.75">
      <c r="A142">
        <v>50000000</v>
      </c>
      <c r="B142">
        <v>3</v>
      </c>
      <c r="C142">
        <v>215979</v>
      </c>
      <c r="D142" s="2">
        <f>100*SUM(B142:B$142)/$D$128</f>
        <v>0.005233136218535769</v>
      </c>
      <c r="E142" s="2">
        <f>1000*SUM(C142:C$142)/(A142*SUM(B142:B$142))</f>
        <v>1.43986</v>
      </c>
      <c r="F142" s="3">
        <f t="shared" si="112"/>
        <v>3.2734506433865325</v>
      </c>
      <c r="G142" s="4">
        <f t="shared" si="113"/>
        <v>2460951.4083140623</v>
      </c>
      <c r="I142" s="5">
        <f t="shared" si="114"/>
        <v>5793623.615555394</v>
      </c>
      <c r="J142" s="5">
        <f t="shared" si="115"/>
        <v>7159972.250398141</v>
      </c>
      <c r="K142" s="5">
        <f t="shared" si="116"/>
        <v>8848555.934636254</v>
      </c>
      <c r="L142" s="5">
        <f t="shared" si="117"/>
        <v>14467695.934926216</v>
      </c>
      <c r="M142" s="5">
        <f t="shared" si="118"/>
        <v>17879708.502834704</v>
      </c>
      <c r="N142" s="5">
        <f t="shared" si="119"/>
        <v>29233943.700527806</v>
      </c>
      <c r="O142" s="5">
        <f t="shared" si="120"/>
        <v>59071151.90487913</v>
      </c>
      <c r="Q142" s="5">
        <f t="shared" si="121"/>
        <v>4023740.9300594465</v>
      </c>
      <c r="R142" s="5">
        <f t="shared" si="122"/>
        <v>4972686.407288306</v>
      </c>
      <c r="S142" s="5">
        <f t="shared" si="123"/>
        <v>6145427.982329014</v>
      </c>
      <c r="T142" s="5">
        <f t="shared" si="124"/>
        <v>10047987.953638699</v>
      </c>
      <c r="U142" s="5">
        <f t="shared" si="125"/>
        <v>12417671.51169885</v>
      </c>
      <c r="V142" s="5">
        <f t="shared" si="126"/>
        <v>20303323.726284366</v>
      </c>
      <c r="W142" s="5">
        <f t="shared" si="127"/>
        <v>41025621.86940337</v>
      </c>
    </row>
    <row r="143" spans="1:23" ht="12.75">
      <c r="A143" t="s">
        <v>18</v>
      </c>
      <c r="B143">
        <v>17882</v>
      </c>
      <c r="C143">
        <v>1861674</v>
      </c>
      <c r="H143" t="s">
        <v>19</v>
      </c>
      <c r="I143" s="4">
        <f>I132</f>
        <v>161923.70074514727</v>
      </c>
      <c r="J143" s="4">
        <f>J133</f>
        <v>317220.220083666</v>
      </c>
      <c r="K143" s="4">
        <f>K134</f>
        <v>598870.1914551762</v>
      </c>
      <c r="L143" s="4">
        <f>L137</f>
        <v>2137037.6552355937</v>
      </c>
      <c r="M143" s="4">
        <f>M138</f>
        <v>3266986.955354724</v>
      </c>
      <c r="N143" s="4">
        <f>N140</f>
        <v>10902683.04389385</v>
      </c>
      <c r="O143" s="4">
        <f>O141</f>
        <v>61846436.47508344</v>
      </c>
      <c r="Q143" s="4">
        <f>Q132</f>
        <v>2016.6399650300398</v>
      </c>
      <c r="R143" s="4">
        <f>R133</f>
        <v>12277.983362576686</v>
      </c>
      <c r="S143" s="4">
        <f>S134</f>
        <v>58285.03012786141</v>
      </c>
      <c r="T143" s="4">
        <f>T137</f>
        <v>602898.2444540479</v>
      </c>
      <c r="U143" s="4">
        <f>U138</f>
        <v>1232545.7352609483</v>
      </c>
      <c r="V143" s="4">
        <f>V140</f>
        <v>3156044.811724238</v>
      </c>
      <c r="W143" s="4">
        <f>W141</f>
        <v>10386474.660705756</v>
      </c>
    </row>
    <row r="144" spans="1:3" ht="12.75">
      <c r="A144" t="s">
        <v>20</v>
      </c>
      <c r="B144">
        <f>B143-SUM(B130:B142)</f>
        <v>0</v>
      </c>
      <c r="C144">
        <f>C143-SUM(C130:C142)</f>
        <v>-1</v>
      </c>
    </row>
    <row r="146" spans="1:4" ht="12.75">
      <c r="A146" s="1">
        <v>1912</v>
      </c>
      <c r="B146" t="s">
        <v>27</v>
      </c>
      <c r="C146" t="s">
        <v>2</v>
      </c>
      <c r="D146">
        <v>56709</v>
      </c>
    </row>
    <row r="147" spans="1:23" ht="12.75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49</v>
      </c>
      <c r="J147" t="s">
        <v>11</v>
      </c>
      <c r="K147" t="s">
        <v>12</v>
      </c>
      <c r="L147" t="s">
        <v>13</v>
      </c>
      <c r="M147" t="s">
        <v>14</v>
      </c>
      <c r="N147" t="s">
        <v>15</v>
      </c>
      <c r="O147" t="s">
        <v>16</v>
      </c>
      <c r="P147" t="s">
        <v>17</v>
      </c>
      <c r="Q147" t="s">
        <v>49</v>
      </c>
      <c r="R147" t="s">
        <v>11</v>
      </c>
      <c r="S147" t="s">
        <v>12</v>
      </c>
      <c r="T147" t="s">
        <v>13</v>
      </c>
      <c r="U147" t="s">
        <v>14</v>
      </c>
      <c r="V147" t="s">
        <v>15</v>
      </c>
      <c r="W147" t="s">
        <v>16</v>
      </c>
    </row>
    <row r="148" spans="1:23" ht="12.75">
      <c r="A148">
        <v>1</v>
      </c>
      <c r="B148">
        <v>2886</v>
      </c>
      <c r="C148">
        <v>832</v>
      </c>
      <c r="D148" s="2">
        <f>100*SUM(B148:B$160)/$D$146</f>
        <v>31.719832830767604</v>
      </c>
      <c r="E148" s="2">
        <f>1000*SUM(C148:C$160)/(A148*SUM(B148:B$160))</f>
        <v>103236.3242161441</v>
      </c>
      <c r="F148" s="3">
        <f>E148/(E148-1)</f>
        <v>1.0000096866068624</v>
      </c>
      <c r="G148" s="4">
        <f>(A148)*(D148/100)^(1/F148)</f>
        <v>0.3172018563105296</v>
      </c>
      <c r="I148" s="5">
        <f>$E148*$G148/(0.2^(1/$F148))</f>
        <v>163731.21583661283</v>
      </c>
      <c r="J148" s="5">
        <f>$E148*$G148/(0.1^(1/$F148))</f>
        <v>327460.2330391597</v>
      </c>
      <c r="K148" s="5">
        <f>$E148*$G148/(0.05^(1/$F148))</f>
        <v>654916.0688397114</v>
      </c>
      <c r="L148" s="5">
        <f>$E148*$G148/(0.01^(1/$F148))</f>
        <v>3274529.294408549</v>
      </c>
      <c r="M148" s="5">
        <f>$E148*$G148/(0.005^(1/$F148))</f>
        <v>6549014.617411768</v>
      </c>
      <c r="N148" s="5">
        <f>$E148*$G148/(0.001^(1/$F148))</f>
        <v>32744562.60054479</v>
      </c>
      <c r="O148" s="5">
        <f>$E148*$G148/(0.0001^(1/$F148))</f>
        <v>327438322.7329351</v>
      </c>
      <c r="Q148" s="5">
        <f>$G148/(0.2^(1/$F148))</f>
        <v>1.5859845561123584</v>
      </c>
      <c r="R148" s="5">
        <f>$G148/(0.1^(1/$F148))</f>
        <v>3.171947815127182</v>
      </c>
      <c r="S148" s="5">
        <f>$G148/(0.05^(1/$F148))</f>
        <v>6.343853036345279</v>
      </c>
      <c r="T148" s="5">
        <f>$G148/(0.01^(1/$F148))</f>
        <v>31.71877068727015</v>
      </c>
      <c r="U148" s="5">
        <f>$G148/(0.005^(1/$F148))</f>
        <v>63.43711544494949</v>
      </c>
      <c r="V148" s="5">
        <f>$G148/(0.001^(1/$F148))</f>
        <v>317.1806323904759</v>
      </c>
      <c r="W148" s="5">
        <f>$G148/(0.0001^(1/$F148))</f>
        <v>3171.7355806603805</v>
      </c>
    </row>
    <row r="149" spans="1:23" ht="12.75">
      <c r="A149">
        <v>500</v>
      </c>
      <c r="B149">
        <v>3900</v>
      </c>
      <c r="C149">
        <v>4716</v>
      </c>
      <c r="D149" s="2">
        <f>100*SUM(B149:B$160)/$D$146</f>
        <v>26.630693540707824</v>
      </c>
      <c r="E149" s="2">
        <f>1000*SUM(C149:C$160)/(A149*SUM(B149:B$160))</f>
        <v>245.81949410674082</v>
      </c>
      <c r="F149" s="3">
        <f aca="true" t="shared" si="128" ref="F149:F160">E149/(E149-1)</f>
        <v>1.0040846420488232</v>
      </c>
      <c r="G149" s="4">
        <f aca="true" t="shared" si="129" ref="G149:G160">(A149)*(D149/100)^(1/F149)</f>
        <v>133.87208889299387</v>
      </c>
      <c r="I149" s="5">
        <f aca="true" t="shared" si="130" ref="I149:I160">$E149*$G149/(0.2^(1/$F149))</f>
        <v>163468.0707215782</v>
      </c>
      <c r="J149" s="5">
        <f aca="true" t="shared" si="131" ref="J149:J160">$E149*$G149/(0.1^(1/$F149))</f>
        <v>326015.56487122667</v>
      </c>
      <c r="K149" s="5">
        <f aca="true" t="shared" si="132" ref="K149:K160">$E149*$G149/(0.05^(1/$F149))</f>
        <v>650195.1608600892</v>
      </c>
      <c r="L149" s="5">
        <f aca="true" t="shared" si="133" ref="L149:L160">$E149*$G149/(0.01^(1/$F149))</f>
        <v>3229760.4296323964</v>
      </c>
      <c r="M149" s="5">
        <f aca="true" t="shared" si="134" ref="M149:M160">$E149*$G149/(0.005^(1/$F149))</f>
        <v>6441332.342257524</v>
      </c>
      <c r="N149" s="5">
        <f aca="true" t="shared" si="135" ref="N149:N160">$E149*$G149/(0.001^(1/$F149))</f>
        <v>31996485.925264157</v>
      </c>
      <c r="O149" s="5">
        <f aca="true" t="shared" si="136" ref="O149:O160">$E149*$G149/(0.0001^(1/$F149))</f>
        <v>316981749.5355684</v>
      </c>
      <c r="Q149" s="5">
        <f aca="true" t="shared" si="137" ref="Q149:Q160">$G149/(0.2^(1/$F149))</f>
        <v>664.9922997994471</v>
      </c>
      <c r="R149" s="5">
        <f aca="true" t="shared" si="138" ref="R149:R160">$G149/(0.1^(1/$F149))</f>
        <v>1326.2396705188187</v>
      </c>
      <c r="S149" s="5">
        <f aca="true" t="shared" si="139" ref="S149:S160">$G149/(0.05^(1/$F149))</f>
        <v>2645.0105725860726</v>
      </c>
      <c r="T149" s="5">
        <f aca="true" t="shared" si="140" ref="T149:T160">$G149/(0.01^(1/$F149))</f>
        <v>13138.748175236076</v>
      </c>
      <c r="U149" s="5">
        <f aca="true" t="shared" si="141" ref="U149:U160">$G149/(0.005^(1/$F149))</f>
        <v>26203.50499729098</v>
      </c>
      <c r="V149" s="5">
        <f aca="true" t="shared" si="142" ref="V149:V160">$G149/(0.001^(1/$F149))</f>
        <v>130162.52450414085</v>
      </c>
      <c r="W149" s="5">
        <f aca="true" t="shared" si="143" ref="W149:W160">$G149/(0.0001^(1/$F149))</f>
        <v>1289489.8782841333</v>
      </c>
    </row>
    <row r="150" spans="1:23" ht="12.75">
      <c r="A150">
        <v>2000</v>
      </c>
      <c r="B150">
        <v>4403</v>
      </c>
      <c r="C150">
        <v>25147</v>
      </c>
      <c r="D150" s="2">
        <f>100*SUM(B150:B$160)/$D$146</f>
        <v>19.753478283870287</v>
      </c>
      <c r="E150" s="2">
        <f>1000*SUM(C150:C$160)/(A150*SUM(B150:B$160))</f>
        <v>82.64001963935011</v>
      </c>
      <c r="F150" s="3">
        <f t="shared" si="128"/>
        <v>1.0122488946526171</v>
      </c>
      <c r="G150" s="4">
        <f t="shared" si="129"/>
        <v>402.8995319862374</v>
      </c>
      <c r="I150" s="5">
        <f t="shared" si="130"/>
        <v>163267.2847821063</v>
      </c>
      <c r="J150" s="5">
        <f t="shared" si="131"/>
        <v>323807.1989604192</v>
      </c>
      <c r="K150" s="5">
        <f t="shared" si="132"/>
        <v>642205.2172823541</v>
      </c>
      <c r="L150" s="5">
        <f t="shared" si="133"/>
        <v>3149095.4548929175</v>
      </c>
      <c r="M150" s="5">
        <f t="shared" si="134"/>
        <v>6245585.451296851</v>
      </c>
      <c r="N150" s="5">
        <f t="shared" si="135"/>
        <v>30625638.391811747</v>
      </c>
      <c r="O150" s="5">
        <f t="shared" si="136"/>
        <v>297840996.0386245</v>
      </c>
      <c r="Q150" s="5">
        <f t="shared" si="137"/>
        <v>1975.6443124605028</v>
      </c>
      <c r="R150" s="5">
        <f t="shared" si="138"/>
        <v>3918.2856002884373</v>
      </c>
      <c r="S150" s="5">
        <f t="shared" si="139"/>
        <v>7771.116464940429</v>
      </c>
      <c r="T150" s="5">
        <f t="shared" si="140"/>
        <v>38106.17989487305</v>
      </c>
      <c r="U150" s="5">
        <f t="shared" si="141"/>
        <v>75575.79824585296</v>
      </c>
      <c r="V150" s="5">
        <f t="shared" si="142"/>
        <v>370590.8895649506</v>
      </c>
      <c r="W150" s="5">
        <f t="shared" si="143"/>
        <v>3604077.023921757</v>
      </c>
    </row>
    <row r="151" spans="1:23" ht="12.75">
      <c r="A151">
        <v>10000</v>
      </c>
      <c r="B151">
        <v>3496</v>
      </c>
      <c r="C151">
        <v>89410</v>
      </c>
      <c r="D151" s="2">
        <f>100*SUM(B151:B$160)/$D$146</f>
        <v>11.989278597753444</v>
      </c>
      <c r="E151" s="2">
        <f>1000*SUM(C151:C$160)/(A151*SUM(B151:B$160))</f>
        <v>26.861597293719665</v>
      </c>
      <c r="F151" s="3">
        <f t="shared" si="128"/>
        <v>1.0386673718812738</v>
      </c>
      <c r="G151" s="4">
        <f t="shared" si="129"/>
        <v>1297.4410150198814</v>
      </c>
      <c r="I151" s="5">
        <f t="shared" si="130"/>
        <v>164122.5658463774</v>
      </c>
      <c r="J151" s="5">
        <f t="shared" si="131"/>
        <v>319883.3154862052</v>
      </c>
      <c r="K151" s="5">
        <f t="shared" si="132"/>
        <v>623469.0214520898</v>
      </c>
      <c r="L151" s="5">
        <f t="shared" si="133"/>
        <v>2936051.848473872</v>
      </c>
      <c r="M151" s="5">
        <f t="shared" si="134"/>
        <v>5722515.943409823</v>
      </c>
      <c r="N151" s="5">
        <f t="shared" si="135"/>
        <v>26948577.933251396</v>
      </c>
      <c r="O151" s="5">
        <f t="shared" si="136"/>
        <v>247347761.58738744</v>
      </c>
      <c r="Q151" s="5">
        <f t="shared" si="137"/>
        <v>6109.933227416444</v>
      </c>
      <c r="R151" s="5">
        <f t="shared" si="138"/>
        <v>11908.573864332151</v>
      </c>
      <c r="S151" s="5">
        <f t="shared" si="139"/>
        <v>23210.422471706814</v>
      </c>
      <c r="T151" s="5">
        <f t="shared" si="140"/>
        <v>109302.9508397973</v>
      </c>
      <c r="U151" s="5">
        <f t="shared" si="141"/>
        <v>213037.06852711126</v>
      </c>
      <c r="V151" s="5">
        <f t="shared" si="142"/>
        <v>1003238.1037724838</v>
      </c>
      <c r="W151" s="5">
        <f t="shared" si="143"/>
        <v>9208229.833942832</v>
      </c>
    </row>
    <row r="152" spans="1:23" ht="12.75">
      <c r="A152">
        <v>50000</v>
      </c>
      <c r="B152">
        <v>1173</v>
      </c>
      <c r="C152">
        <v>91892</v>
      </c>
      <c r="D152" s="2">
        <f>100*SUM(B152:B$160)/$D$146</f>
        <v>5.8244723059831776</v>
      </c>
      <c r="E152" s="2">
        <f>1000*SUM(C152:C$160)/(A152*SUM(B152:B$160))</f>
        <v>10.51716621253406</v>
      </c>
      <c r="F152" s="3">
        <f t="shared" si="128"/>
        <v>1.1050732936326157</v>
      </c>
      <c r="G152" s="4">
        <f t="shared" si="129"/>
        <v>3816.1836013766733</v>
      </c>
      <c r="I152" s="5">
        <f t="shared" si="130"/>
        <v>172201.9578395134</v>
      </c>
      <c r="J152" s="5">
        <f t="shared" si="131"/>
        <v>322437.3563616139</v>
      </c>
      <c r="K152" s="5">
        <f t="shared" si="132"/>
        <v>603743.7093157744</v>
      </c>
      <c r="L152" s="5">
        <f t="shared" si="133"/>
        <v>2590375.387549046</v>
      </c>
      <c r="M152" s="5">
        <f t="shared" si="134"/>
        <v>4850315.3066582205</v>
      </c>
      <c r="N152" s="5">
        <f t="shared" si="135"/>
        <v>20810382.283666123</v>
      </c>
      <c r="O152" s="5">
        <f t="shared" si="136"/>
        <v>167185039.23174152</v>
      </c>
      <c r="Q152" s="5">
        <f t="shared" si="137"/>
        <v>16373.417930229913</v>
      </c>
      <c r="R152" s="5">
        <f t="shared" si="138"/>
        <v>30658.1972601462</v>
      </c>
      <c r="S152" s="5">
        <f t="shared" si="139"/>
        <v>57405.54985203617</v>
      </c>
      <c r="T152" s="5">
        <f t="shared" si="140"/>
        <v>246299.7479741178</v>
      </c>
      <c r="U152" s="5">
        <f t="shared" si="141"/>
        <v>461180.8170225314</v>
      </c>
      <c r="V152" s="5">
        <f t="shared" si="142"/>
        <v>1978706.2278111477</v>
      </c>
      <c r="W152" s="5">
        <f t="shared" si="143"/>
        <v>15896396.030376999</v>
      </c>
    </row>
    <row r="153" spans="1:23" ht="12.75">
      <c r="A153">
        <v>100000</v>
      </c>
      <c r="B153">
        <v>1068</v>
      </c>
      <c r="C153">
        <v>176246</v>
      </c>
      <c r="D153" s="2">
        <f>100*SUM(B153:B$160)/$D$146</f>
        <v>3.756017563349733</v>
      </c>
      <c r="E153" s="2">
        <f>1000*SUM(C153:C$160)/(A153*SUM(B153:B$160))</f>
        <v>7.723089201877935</v>
      </c>
      <c r="F153" s="3">
        <f t="shared" si="128"/>
        <v>1.148741147108486</v>
      </c>
      <c r="G153" s="4">
        <f t="shared" si="129"/>
        <v>5744.795085866023</v>
      </c>
      <c r="I153" s="5">
        <f t="shared" si="130"/>
        <v>180107.4416092552</v>
      </c>
      <c r="J153" s="5">
        <f t="shared" si="131"/>
        <v>329293.9315757211</v>
      </c>
      <c r="K153" s="5">
        <f t="shared" si="132"/>
        <v>602054.487053596</v>
      </c>
      <c r="L153" s="5">
        <f t="shared" si="133"/>
        <v>2444003.713750425</v>
      </c>
      <c r="M153" s="5">
        <f t="shared" si="134"/>
        <v>4468419.430622703</v>
      </c>
      <c r="N153" s="5">
        <f t="shared" si="135"/>
        <v>18139277.95220345</v>
      </c>
      <c r="O153" s="5">
        <f t="shared" si="136"/>
        <v>134628848.05619988</v>
      </c>
      <c r="Q153" s="5">
        <f t="shared" si="137"/>
        <v>23320.647593382782</v>
      </c>
      <c r="R153" s="5">
        <f t="shared" si="138"/>
        <v>42637.59267414009</v>
      </c>
      <c r="S153" s="5">
        <f t="shared" si="139"/>
        <v>77955.13832822251</v>
      </c>
      <c r="T153" s="5">
        <f t="shared" si="140"/>
        <v>316454.1610054361</v>
      </c>
      <c r="U153" s="5">
        <f t="shared" si="141"/>
        <v>578579.2852860186</v>
      </c>
      <c r="V153" s="5">
        <f t="shared" si="142"/>
        <v>2348707.5544579662</v>
      </c>
      <c r="W153" s="5">
        <f t="shared" si="143"/>
        <v>17431994.443811905</v>
      </c>
    </row>
    <row r="154" spans="1:23" ht="12.75">
      <c r="A154">
        <v>250000</v>
      </c>
      <c r="B154">
        <v>481</v>
      </c>
      <c r="C154">
        <v>169738</v>
      </c>
      <c r="D154" s="2">
        <f>100*SUM(B154:B$160)/$D$146</f>
        <v>1.8727186160926836</v>
      </c>
      <c r="E154" s="2">
        <f>1000*SUM(C154:C$160)/(A154*SUM(B154:B$160))</f>
        <v>5.532097928436912</v>
      </c>
      <c r="F154" s="3">
        <f t="shared" si="128"/>
        <v>1.2206483654568543</v>
      </c>
      <c r="G154" s="4">
        <f t="shared" si="129"/>
        <v>9609.173091187811</v>
      </c>
      <c r="I154" s="5">
        <f t="shared" si="130"/>
        <v>198699.96498936263</v>
      </c>
      <c r="J154" s="5">
        <f t="shared" si="131"/>
        <v>350600.57654597895</v>
      </c>
      <c r="K154" s="5">
        <f t="shared" si="132"/>
        <v>618624.9921128744</v>
      </c>
      <c r="L154" s="5">
        <f t="shared" si="133"/>
        <v>2312327.6698940205</v>
      </c>
      <c r="M154" s="5">
        <f t="shared" si="134"/>
        <v>4080038.0325757205</v>
      </c>
      <c r="N154" s="5">
        <f t="shared" si="135"/>
        <v>15250571.763553008</v>
      </c>
      <c r="O154" s="5">
        <f t="shared" si="136"/>
        <v>100582604.33563033</v>
      </c>
      <c r="Q154" s="5">
        <f t="shared" si="137"/>
        <v>35917.65141538358</v>
      </c>
      <c r="R154" s="5">
        <f t="shared" si="138"/>
        <v>63375.69961366189</v>
      </c>
      <c r="S154" s="5">
        <f t="shared" si="139"/>
        <v>111824.66400909613</v>
      </c>
      <c r="T154" s="5">
        <f t="shared" si="140"/>
        <v>417983.8643144494</v>
      </c>
      <c r="U154" s="5">
        <f t="shared" si="141"/>
        <v>737520.9342558639</v>
      </c>
      <c r="V154" s="5">
        <f t="shared" si="142"/>
        <v>2756742.9139603176</v>
      </c>
      <c r="W154" s="5">
        <f t="shared" si="143"/>
        <v>18181638.437490538</v>
      </c>
    </row>
    <row r="155" spans="1:23" ht="12.75">
      <c r="A155">
        <v>500000</v>
      </c>
      <c r="B155">
        <v>274</v>
      </c>
      <c r="C155">
        <v>205123</v>
      </c>
      <c r="D155" s="2">
        <f>100*SUM(B155:B$160)/$D$146</f>
        <v>1.0245287344160539</v>
      </c>
      <c r="E155" s="2">
        <f>1000*SUM(C155:C$160)/(A155*SUM(B155:B$160))</f>
        <v>4.4717177280550775</v>
      </c>
      <c r="F155" s="3">
        <f t="shared" si="128"/>
        <v>1.2880418508448896</v>
      </c>
      <c r="G155" s="4">
        <f t="shared" si="129"/>
        <v>14269.083510467579</v>
      </c>
      <c r="I155" s="5">
        <f t="shared" si="130"/>
        <v>222603.20004954183</v>
      </c>
      <c r="J155" s="5">
        <f t="shared" si="131"/>
        <v>381278.8806856806</v>
      </c>
      <c r="K155" s="5">
        <f t="shared" si="132"/>
        <v>653061.5230354802</v>
      </c>
      <c r="L155" s="5">
        <f t="shared" si="133"/>
        <v>2278321.6599210617</v>
      </c>
      <c r="M155" s="5">
        <f t="shared" si="134"/>
        <v>3902351.503227784</v>
      </c>
      <c r="N155" s="5">
        <f t="shared" si="135"/>
        <v>13614049.581583366</v>
      </c>
      <c r="O155" s="5">
        <f t="shared" si="136"/>
        <v>81350385.79944493</v>
      </c>
      <c r="Q155" s="5">
        <f t="shared" si="137"/>
        <v>49780.244100148186</v>
      </c>
      <c r="R155" s="5">
        <f t="shared" si="138"/>
        <v>85264.52336058195</v>
      </c>
      <c r="S155" s="5">
        <f t="shared" si="139"/>
        <v>146042.653573199</v>
      </c>
      <c r="T155" s="5">
        <f t="shared" si="140"/>
        <v>509495.8578505785</v>
      </c>
      <c r="U155" s="5">
        <f t="shared" si="141"/>
        <v>872673.9343909945</v>
      </c>
      <c r="V155" s="5">
        <f t="shared" si="142"/>
        <v>3044478.7460913016</v>
      </c>
      <c r="W155" s="5">
        <f t="shared" si="143"/>
        <v>18192200.569606915</v>
      </c>
    </row>
    <row r="156" spans="1:23" ht="12.75">
      <c r="A156">
        <v>1000000</v>
      </c>
      <c r="B156">
        <v>187</v>
      </c>
      <c r="C156">
        <v>272110</v>
      </c>
      <c r="D156" s="2">
        <f>100*SUM(B156:B$160)/$D$146</f>
        <v>0.5413602779100319</v>
      </c>
      <c r="E156" s="2">
        <f>1000*SUM(C156:C$160)/(A156*SUM(B156:B$160))</f>
        <v>3.563228013029316</v>
      </c>
      <c r="F156" s="3">
        <f t="shared" si="128"/>
        <v>1.3901330646032397</v>
      </c>
      <c r="G156" s="4">
        <f t="shared" si="129"/>
        <v>23419.129460244178</v>
      </c>
      <c r="I156" s="5">
        <f t="shared" si="130"/>
        <v>265596.49888031953</v>
      </c>
      <c r="J156" s="5">
        <f t="shared" si="131"/>
        <v>437290.41481827287</v>
      </c>
      <c r="K156" s="5">
        <f t="shared" si="132"/>
        <v>719975.254561259</v>
      </c>
      <c r="L156" s="5">
        <f t="shared" si="133"/>
        <v>2291530.038204444</v>
      </c>
      <c r="M156" s="5">
        <f t="shared" si="134"/>
        <v>3772881.5146260434</v>
      </c>
      <c r="N156" s="5">
        <f t="shared" si="135"/>
        <v>12008289.544090496</v>
      </c>
      <c r="O156" s="5">
        <f t="shared" si="136"/>
        <v>62926959.442217045</v>
      </c>
      <c r="Q156" s="5">
        <f t="shared" si="137"/>
        <v>74538.17098123896</v>
      </c>
      <c r="R156" s="5">
        <f t="shared" si="138"/>
        <v>122723.10759212567</v>
      </c>
      <c r="S156" s="5">
        <f t="shared" si="139"/>
        <v>202057.02580036814</v>
      </c>
      <c r="T156" s="5">
        <f t="shared" si="140"/>
        <v>643105.0805127332</v>
      </c>
      <c r="U156" s="5">
        <f t="shared" si="141"/>
        <v>1058838.0818825255</v>
      </c>
      <c r="V156" s="5">
        <f t="shared" si="142"/>
        <v>3370059.255310334</v>
      </c>
      <c r="W156" s="5">
        <f t="shared" si="143"/>
        <v>17660098.9922952</v>
      </c>
    </row>
    <row r="157" spans="1:23" ht="12.75">
      <c r="A157">
        <v>2000000</v>
      </c>
      <c r="B157">
        <v>87</v>
      </c>
      <c r="C157">
        <v>265526</v>
      </c>
      <c r="D157" s="2">
        <f>100*SUM(B157:B$160)/$D$146</f>
        <v>0.2116066232873089</v>
      </c>
      <c r="E157" s="2">
        <f>1000*SUM(C157:C$160)/(A157*SUM(B157:B$160))</f>
        <v>3.424170833333333</v>
      </c>
      <c r="F157" s="3">
        <f t="shared" si="128"/>
        <v>1.4125121820003748</v>
      </c>
      <c r="G157" s="4">
        <f t="shared" si="129"/>
        <v>25563.22901318889</v>
      </c>
      <c r="I157" s="5">
        <f t="shared" si="130"/>
        <v>273534.98952957225</v>
      </c>
      <c r="J157" s="5">
        <f t="shared" si="131"/>
        <v>446816.94048884313</v>
      </c>
      <c r="K157" s="5">
        <f t="shared" si="132"/>
        <v>729871.4458839879</v>
      </c>
      <c r="L157" s="5">
        <f t="shared" si="133"/>
        <v>2280804.8431834406</v>
      </c>
      <c r="M157" s="5">
        <f t="shared" si="134"/>
        <v>3725674.158307941</v>
      </c>
      <c r="N157" s="5">
        <f t="shared" si="135"/>
        <v>11642510.07805944</v>
      </c>
      <c r="O157" s="5">
        <f t="shared" si="136"/>
        <v>59429916.295917675</v>
      </c>
      <c r="Q157" s="5">
        <f t="shared" si="137"/>
        <v>79883.56972928646</v>
      </c>
      <c r="R157" s="5">
        <f t="shared" si="138"/>
        <v>130489.09129743374</v>
      </c>
      <c r="S157" s="5">
        <f t="shared" si="139"/>
        <v>213152.75475712138</v>
      </c>
      <c r="T157" s="5">
        <f t="shared" si="140"/>
        <v>666089.6766541117</v>
      </c>
      <c r="U157" s="5">
        <f t="shared" si="141"/>
        <v>1088051.4844760543</v>
      </c>
      <c r="V157" s="5">
        <f t="shared" si="142"/>
        <v>3400096.153124985</v>
      </c>
      <c r="W157" s="5">
        <f t="shared" si="143"/>
        <v>17356002.13557813</v>
      </c>
    </row>
    <row r="158" spans="1:23" ht="12.75">
      <c r="A158">
        <v>5000000</v>
      </c>
      <c r="B158">
        <v>20</v>
      </c>
      <c r="C158">
        <v>123874</v>
      </c>
      <c r="D158" s="2">
        <f>100*SUM(B158:B$160)/$D$146</f>
        <v>0.05819182140400995</v>
      </c>
      <c r="E158" s="2">
        <f>1000*SUM(C158:C$160)/(A158*SUM(B158:B$160))</f>
        <v>3.3713636363636366</v>
      </c>
      <c r="F158" s="3">
        <f t="shared" si="128"/>
        <v>1.4216982940387195</v>
      </c>
      <c r="G158" s="4">
        <f t="shared" si="129"/>
        <v>26510.949498055743</v>
      </c>
      <c r="I158" s="5">
        <f t="shared" si="130"/>
        <v>277252.3783262327</v>
      </c>
      <c r="J158" s="5">
        <f t="shared" si="131"/>
        <v>451455.55181097554</v>
      </c>
      <c r="K158" s="5">
        <f t="shared" si="132"/>
        <v>735114.0375832383</v>
      </c>
      <c r="L158" s="5">
        <f t="shared" si="133"/>
        <v>2280337.428991159</v>
      </c>
      <c r="M158" s="5">
        <f t="shared" si="134"/>
        <v>3713118.706267992</v>
      </c>
      <c r="N158" s="5">
        <f t="shared" si="135"/>
        <v>11518163.347862042</v>
      </c>
      <c r="O158" s="5">
        <f t="shared" si="136"/>
        <v>58179147.182935074</v>
      </c>
      <c r="Q158" s="5">
        <f t="shared" si="137"/>
        <v>82237.4588536756</v>
      </c>
      <c r="R158" s="5">
        <f t="shared" si="138"/>
        <v>133908.88687935096</v>
      </c>
      <c r="S158" s="5">
        <f t="shared" si="139"/>
        <v>218046.4989460866</v>
      </c>
      <c r="T158" s="5">
        <f t="shared" si="140"/>
        <v>676384.2987435013</v>
      </c>
      <c r="U158" s="5">
        <f t="shared" si="141"/>
        <v>1101369.9816353759</v>
      </c>
      <c r="V158" s="5">
        <f t="shared" si="142"/>
        <v>3416470.185424901</v>
      </c>
      <c r="W158" s="5">
        <f t="shared" si="143"/>
        <v>17256859.08082205</v>
      </c>
    </row>
    <row r="159" spans="1:23" ht="12.75">
      <c r="A159">
        <v>10000000</v>
      </c>
      <c r="B159">
        <v>12</v>
      </c>
      <c r="C159">
        <v>189700</v>
      </c>
      <c r="D159" s="2">
        <f>100*SUM(B159:B$160)/$D$146</f>
        <v>0.02292405085612513</v>
      </c>
      <c r="E159" s="2">
        <f>1000*SUM(C159:C$160)/(A159*SUM(B159:B$160))</f>
        <v>3.3261615384615384</v>
      </c>
      <c r="F159" s="3">
        <f t="shared" si="128"/>
        <v>1.4298927582911432</v>
      </c>
      <c r="G159" s="4">
        <f t="shared" si="129"/>
        <v>28481.201849323286</v>
      </c>
      <c r="I159" s="5">
        <f t="shared" si="130"/>
        <v>291963.4729859043</v>
      </c>
      <c r="J159" s="5">
        <f t="shared" si="131"/>
        <v>474083.4513041485</v>
      </c>
      <c r="K159" s="5">
        <f t="shared" si="132"/>
        <v>769805.6078792564</v>
      </c>
      <c r="L159" s="5">
        <f t="shared" si="133"/>
        <v>2372509.4039481417</v>
      </c>
      <c r="M159" s="5">
        <f t="shared" si="134"/>
        <v>3852425.2194026527</v>
      </c>
      <c r="N159" s="5">
        <f t="shared" si="135"/>
        <v>11873016.989600016</v>
      </c>
      <c r="O159" s="5">
        <f t="shared" si="136"/>
        <v>59417481.001652524</v>
      </c>
      <c r="Q159" s="5">
        <f t="shared" si="137"/>
        <v>87777.89942245177</v>
      </c>
      <c r="R159" s="5">
        <f t="shared" si="138"/>
        <v>142531.697821095</v>
      </c>
      <c r="S159" s="5">
        <f t="shared" si="139"/>
        <v>231439.63363707147</v>
      </c>
      <c r="T159" s="5">
        <f t="shared" si="140"/>
        <v>713287.4866460958</v>
      </c>
      <c r="U159" s="5">
        <f t="shared" si="141"/>
        <v>1158219.5196642582</v>
      </c>
      <c r="V159" s="5">
        <f t="shared" si="142"/>
        <v>3569585.1967224916</v>
      </c>
      <c r="W159" s="5">
        <f t="shared" si="143"/>
        <v>17863678.692266736</v>
      </c>
    </row>
    <row r="160" spans="1:23" ht="12.75">
      <c r="A160">
        <v>50000000</v>
      </c>
      <c r="B160">
        <v>1</v>
      </c>
      <c r="C160">
        <v>242701</v>
      </c>
      <c r="D160" s="2">
        <f>100*SUM(B160:B$160)/$D$146</f>
        <v>0.0017633885273942408</v>
      </c>
      <c r="E160" s="2">
        <f>1000*SUM(C160:C$160)/(A160*SUM(B160:B$160))</f>
        <v>4.85402</v>
      </c>
      <c r="F160" s="3">
        <f t="shared" si="128"/>
        <v>1.2594693333194948</v>
      </c>
      <c r="G160" s="4">
        <f t="shared" si="129"/>
        <v>8406.993637577258</v>
      </c>
      <c r="I160" s="5">
        <f t="shared" si="130"/>
        <v>146458.34189034428</v>
      </c>
      <c r="J160" s="5">
        <f t="shared" si="131"/>
        <v>253937.86962598836</v>
      </c>
      <c r="K160" s="5">
        <f t="shared" si="132"/>
        <v>440292.0366152036</v>
      </c>
      <c r="L160" s="5">
        <f t="shared" si="133"/>
        <v>1580202.2050141892</v>
      </c>
      <c r="M160" s="5">
        <f t="shared" si="134"/>
        <v>2739845.176043521</v>
      </c>
      <c r="N160" s="5">
        <f t="shared" si="135"/>
        <v>9833267.53276092</v>
      </c>
      <c r="O160" s="5">
        <f t="shared" si="136"/>
        <v>61190365.42540559</v>
      </c>
      <c r="Q160" s="5">
        <f t="shared" si="137"/>
        <v>30172.587234981376</v>
      </c>
      <c r="R160" s="5">
        <f t="shared" si="138"/>
        <v>52314.96154238927</v>
      </c>
      <c r="S160" s="5">
        <f t="shared" si="139"/>
        <v>90706.67953885719</v>
      </c>
      <c r="T160" s="5">
        <f t="shared" si="140"/>
        <v>325545.05441143404</v>
      </c>
      <c r="U160" s="5">
        <f t="shared" si="141"/>
        <v>564448.6788360002</v>
      </c>
      <c r="V160" s="5">
        <f t="shared" si="142"/>
        <v>2025798.7261611861</v>
      </c>
      <c r="W160" s="5">
        <f t="shared" si="143"/>
        <v>12606121.40564019</v>
      </c>
    </row>
    <row r="161" spans="1:23" ht="12.75">
      <c r="A161" t="s">
        <v>18</v>
      </c>
      <c r="B161">
        <v>17988</v>
      </c>
      <c r="C161">
        <v>1857013</v>
      </c>
      <c r="H161" t="s">
        <v>19</v>
      </c>
      <c r="I161" s="4">
        <f>I150</f>
        <v>163267.2847821063</v>
      </c>
      <c r="J161" s="4">
        <f>J151</f>
        <v>319883.3154862052</v>
      </c>
      <c r="K161" s="4">
        <f>K152</f>
        <v>603743.7093157744</v>
      </c>
      <c r="L161" s="4">
        <f>L155</f>
        <v>2278321.6599210617</v>
      </c>
      <c r="M161" s="4">
        <f>M156</f>
        <v>3772881.5146260434</v>
      </c>
      <c r="N161" s="4">
        <f>N158</f>
        <v>11518163.347862042</v>
      </c>
      <c r="O161" s="4">
        <f>O159</f>
        <v>59417481.001652524</v>
      </c>
      <c r="Q161" s="4">
        <f>Q150</f>
        <v>1975.6443124605028</v>
      </c>
      <c r="R161" s="4">
        <f>R151</f>
        <v>11908.573864332151</v>
      </c>
      <c r="S161" s="4">
        <f>S152</f>
        <v>57405.54985203617</v>
      </c>
      <c r="T161" s="4">
        <f>T155</f>
        <v>509495.8578505785</v>
      </c>
      <c r="U161" s="4">
        <f>U156</f>
        <v>1058838.0818825255</v>
      </c>
      <c r="V161" s="4">
        <f>V158</f>
        <v>3416470.185424901</v>
      </c>
      <c r="W161" s="4">
        <f>W159</f>
        <v>17863678.692266736</v>
      </c>
    </row>
    <row r="162" spans="1:3" ht="12.75">
      <c r="A162" t="s">
        <v>20</v>
      </c>
      <c r="B162">
        <f>B161-SUM(B148:B160)</f>
        <v>0</v>
      </c>
      <c r="C162">
        <f>C161-SUM(C148:C160)</f>
        <v>-2</v>
      </c>
    </row>
    <row r="164" spans="1:4" ht="12.75">
      <c r="A164" s="1">
        <v>1913</v>
      </c>
      <c r="B164" t="s">
        <v>28</v>
      </c>
      <c r="C164" t="s">
        <v>2</v>
      </c>
      <c r="D164">
        <v>54411</v>
      </c>
    </row>
    <row r="165" spans="1:23" ht="12.75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49</v>
      </c>
      <c r="J165" t="s">
        <v>11</v>
      </c>
      <c r="K165" t="s">
        <v>12</v>
      </c>
      <c r="L165" t="s">
        <v>13</v>
      </c>
      <c r="M165" t="s">
        <v>14</v>
      </c>
      <c r="N165" t="s">
        <v>15</v>
      </c>
      <c r="O165" t="s">
        <v>16</v>
      </c>
      <c r="P165" t="s">
        <v>17</v>
      </c>
      <c r="Q165" t="s">
        <v>49</v>
      </c>
      <c r="R165" t="s">
        <v>11</v>
      </c>
      <c r="S165" t="s">
        <v>12</v>
      </c>
      <c r="T165" t="s">
        <v>13</v>
      </c>
      <c r="U165" t="s">
        <v>14</v>
      </c>
      <c r="V165" t="s">
        <v>15</v>
      </c>
      <c r="W165" t="s">
        <v>16</v>
      </c>
    </row>
    <row r="166" spans="1:23" ht="12.75">
      <c r="A166">
        <v>1</v>
      </c>
      <c r="B166">
        <v>3276</v>
      </c>
      <c r="C166">
        <v>790</v>
      </c>
      <c r="D166" s="2">
        <f>100*SUM(B166:B$178)/$D$164</f>
        <v>35.41195714101928</v>
      </c>
      <c r="E166" s="2">
        <f>1000*SUM(C166:C$178)/(A166*SUM(B166:B$178))</f>
        <v>85647.18704587918</v>
      </c>
      <c r="F166" s="3">
        <f>E166/(E166-1)</f>
        <v>1.000011675943022</v>
      </c>
      <c r="G166" s="4">
        <f>(A166)*(D166/100)^(1/F166)</f>
        <v>0.3541238636827176</v>
      </c>
      <c r="I166" s="5">
        <f>$E166*$G166/(0.2^(1/$F166))</f>
        <v>151645.714276131</v>
      </c>
      <c r="J166" s="5">
        <f>$E166*$G166/(0.1^(1/$F166))</f>
        <v>303288.9740087428</v>
      </c>
      <c r="K166" s="5">
        <f>$E166*$G166/(0.05^(1/$F166))</f>
        <v>606573.0389701762</v>
      </c>
      <c r="L166" s="5">
        <f>$E166*$G166/(0.01^(1/$F166))</f>
        <v>3032808.2033426496</v>
      </c>
      <c r="M166" s="5">
        <f>$E166*$G166/(0.005^(1/$F166))</f>
        <v>6065567.317531963</v>
      </c>
      <c r="N166" s="5">
        <f>$E166*$G166/(0.001^(1/$F166))</f>
        <v>30327266.68789919</v>
      </c>
      <c r="O166" s="5">
        <f>$E166*$G166/(0.0001^(1/$F166))</f>
        <v>303264513.6429178</v>
      </c>
      <c r="Q166" s="5">
        <f>$G166/(0.2^(1/$F166))</f>
        <v>1.7705860461581533</v>
      </c>
      <c r="R166" s="5">
        <f>$G166/(0.1^(1/$F166))</f>
        <v>3.541143433540649</v>
      </c>
      <c r="S166" s="5">
        <f>$G166/(0.05^(1/$F166))</f>
        <v>7.082229549993853</v>
      </c>
      <c r="T166" s="5">
        <f>$G166/(0.01^(1/$F166))</f>
        <v>35.41048232813584</v>
      </c>
      <c r="U166" s="5">
        <f>$G166/(0.005^(1/$F166))</f>
        <v>70.82039150080645</v>
      </c>
      <c r="V166" s="5">
        <f>$G166/(0.001^(1/$F166))</f>
        <v>354.09530346459115</v>
      </c>
      <c r="W166" s="5">
        <f>$G166/(0.0001^(1/$F166))</f>
        <v>3540.857839037564</v>
      </c>
    </row>
    <row r="167" spans="1:23" ht="12.75">
      <c r="A167">
        <v>500</v>
      </c>
      <c r="B167">
        <v>4067</v>
      </c>
      <c r="C167">
        <v>4863</v>
      </c>
      <c r="D167" s="2">
        <f>100*SUM(B167:B$178)/$D$164</f>
        <v>29.391115767032403</v>
      </c>
      <c r="E167" s="2">
        <f>1000*SUM(C167:C$178)/(A167*SUM(B167:B$178))</f>
        <v>206.2856428214107</v>
      </c>
      <c r="F167" s="3">
        <f aca="true" t="shared" si="144" ref="F167:F178">E167/(E167-1)</f>
        <v>1.0048712612643347</v>
      </c>
      <c r="G167" s="4">
        <f aca="true" t="shared" si="145" ref="G167:G178">(A167)*(D167/100)^(1/F167)</f>
        <v>147.8304771058547</v>
      </c>
      <c r="I167" s="5">
        <f aca="true" t="shared" si="146" ref="I167:I178">$E167*$G167/(0.2^(1/$F167))</f>
        <v>151291.53377357486</v>
      </c>
      <c r="J167" s="5">
        <f aca="true" t="shared" si="147" ref="J167:J178">$E167*$G167/(0.1^(1/$F167))</f>
        <v>301568.05446354183</v>
      </c>
      <c r="K167" s="5">
        <f aca="true" t="shared" si="148" ref="K167:K178">$E167*$G167/(0.05^(1/$F167))</f>
        <v>601112.8924704593</v>
      </c>
      <c r="L167" s="5">
        <f aca="true" t="shared" si="149" ref="L167:L178">$E167*$G167/(0.01^(1/$F167))</f>
        <v>2982206.3257857445</v>
      </c>
      <c r="M167" s="5">
        <f aca="true" t="shared" si="150" ref="M167:M178">$E167*$G167/(0.005^(1/$F167))</f>
        <v>5944405.065137597</v>
      </c>
      <c r="N167" s="5">
        <f aca="true" t="shared" si="151" ref="N167:N178">$E167*$G167/(0.001^(1/$F167))</f>
        <v>29491036.72594639</v>
      </c>
      <c r="O167" s="5">
        <f aca="true" t="shared" si="152" ref="O167:O178">$E167*$G167/(0.0001^(1/$F167))</f>
        <v>291636846.06629825</v>
      </c>
      <c r="Q167" s="5">
        <f aca="true" t="shared" si="153" ref="Q167:Q178">$G167/(0.2^(1/$F167))</f>
        <v>733.4079662759355</v>
      </c>
      <c r="R167" s="5">
        <f aca="true" t="shared" si="154" ref="R167:R178">$G167/(0.1^(1/$F167))</f>
        <v>1461.8955073117752</v>
      </c>
      <c r="S167" s="5">
        <f aca="true" t="shared" si="155" ref="S167:S178">$G167/(0.05^(1/$F167))</f>
        <v>2913.983175217218</v>
      </c>
      <c r="T167" s="5">
        <f aca="true" t="shared" si="156" ref="T167:T178">$G167/(0.01^(1/$F167))</f>
        <v>14456.68387289344</v>
      </c>
      <c r="U167" s="5">
        <f aca="true" t="shared" si="157" ref="U167:U178">$G167/(0.005^(1/$F167))</f>
        <v>28816.37802725754</v>
      </c>
      <c r="V167" s="5">
        <f aca="true" t="shared" si="158" ref="V167:V178">$G167/(0.001^(1/$F167))</f>
        <v>142962.13891859597</v>
      </c>
      <c r="W167" s="5">
        <f aca="true" t="shared" si="159" ref="W167:W178">$G167/(0.0001^(1/$F167))</f>
        <v>1413752.5136384761</v>
      </c>
    </row>
    <row r="168" spans="1:23" ht="12.75">
      <c r="A168">
        <v>2000</v>
      </c>
      <c r="B168">
        <v>4935</v>
      </c>
      <c r="C168">
        <v>25554</v>
      </c>
      <c r="D168" s="2">
        <f>100*SUM(B168:B$178)/$D$164</f>
        <v>21.916524232232454</v>
      </c>
      <c r="E168" s="2">
        <f>1000*SUM(C168:C$178)/(A168*SUM(B168:B$178))</f>
        <v>68.95584905660377</v>
      </c>
      <c r="F168" s="3">
        <f t="shared" si="144"/>
        <v>1.0147154367708224</v>
      </c>
      <c r="G168" s="4">
        <f t="shared" si="145"/>
        <v>448.0864658321404</v>
      </c>
      <c r="I168" s="5">
        <f t="shared" si="146"/>
        <v>150926.8316292231</v>
      </c>
      <c r="J168" s="5">
        <f t="shared" si="147"/>
        <v>298834.61638106965</v>
      </c>
      <c r="K168" s="5">
        <f t="shared" si="148"/>
        <v>591691.5301515547</v>
      </c>
      <c r="L168" s="5">
        <f t="shared" si="149"/>
        <v>2890206.4826350235</v>
      </c>
      <c r="M168" s="5">
        <f t="shared" si="150"/>
        <v>5722599.064572731</v>
      </c>
      <c r="N168" s="5">
        <f t="shared" si="151"/>
        <v>27952897.87182325</v>
      </c>
      <c r="O168" s="5">
        <f t="shared" si="152"/>
        <v>270349023.20203924</v>
      </c>
      <c r="Q168" s="5">
        <f t="shared" si="153"/>
        <v>2188.745896020102</v>
      </c>
      <c r="R168" s="5">
        <f t="shared" si="154"/>
        <v>4333.709474532978</v>
      </c>
      <c r="S168" s="5">
        <f t="shared" si="155"/>
        <v>8580.730108418404</v>
      </c>
      <c r="T168" s="5">
        <f t="shared" si="156"/>
        <v>41913.86984826393</v>
      </c>
      <c r="U168" s="5">
        <f t="shared" si="157"/>
        <v>82989.32059955092</v>
      </c>
      <c r="V168" s="5">
        <f t="shared" si="158"/>
        <v>405373.8479657841</v>
      </c>
      <c r="W168" s="5">
        <f t="shared" si="159"/>
        <v>3920610.4616320203</v>
      </c>
    </row>
    <row r="169" spans="1:23" ht="12.75">
      <c r="A169">
        <v>10000</v>
      </c>
      <c r="B169">
        <v>3619</v>
      </c>
      <c r="C169">
        <v>87463</v>
      </c>
      <c r="D169" s="2">
        <f>100*SUM(B169:B$178)/$D$164</f>
        <v>12.8466670342394</v>
      </c>
      <c r="E169" s="2">
        <f>1000*SUM(C169:C$178)/(A169*SUM(B169:B$178))</f>
        <v>23.162274678111586</v>
      </c>
      <c r="F169" s="3">
        <f t="shared" si="144"/>
        <v>1.0451217221392732</v>
      </c>
      <c r="G169" s="4">
        <f t="shared" si="145"/>
        <v>1403.6771774943568</v>
      </c>
      <c r="I169" s="5">
        <f t="shared" si="146"/>
        <v>151649.63259934596</v>
      </c>
      <c r="J169" s="5">
        <f t="shared" si="147"/>
        <v>294357.2884806856</v>
      </c>
      <c r="K169" s="5">
        <f t="shared" si="148"/>
        <v>571357.8845958594</v>
      </c>
      <c r="L169" s="5">
        <f t="shared" si="149"/>
        <v>2665024.1023303773</v>
      </c>
      <c r="M169" s="5">
        <f t="shared" si="150"/>
        <v>5172905.829387589</v>
      </c>
      <c r="N169" s="5">
        <f t="shared" si="151"/>
        <v>24128342.47339473</v>
      </c>
      <c r="O169" s="5">
        <f t="shared" si="152"/>
        <v>218450898.81339204</v>
      </c>
      <c r="Q169" s="5">
        <f t="shared" si="153"/>
        <v>6547.268552283222</v>
      </c>
      <c r="R169" s="5">
        <f t="shared" si="154"/>
        <v>12708.479308332098</v>
      </c>
      <c r="S169" s="5">
        <f t="shared" si="155"/>
        <v>24667.6068104742</v>
      </c>
      <c r="T169" s="5">
        <f t="shared" si="156"/>
        <v>115058.82472108115</v>
      </c>
      <c r="U169" s="5">
        <f t="shared" si="157"/>
        <v>223333.23912594817</v>
      </c>
      <c r="V169" s="5">
        <f t="shared" si="158"/>
        <v>1041708.675365813</v>
      </c>
      <c r="W169" s="5">
        <f t="shared" si="159"/>
        <v>9431323.211956758</v>
      </c>
    </row>
    <row r="170" spans="1:23" ht="12.75">
      <c r="A170">
        <v>50000</v>
      </c>
      <c r="B170">
        <v>1178</v>
      </c>
      <c r="C170">
        <v>83750</v>
      </c>
      <c r="D170" s="2">
        <f>100*SUM(B170:B$178)/$D$164</f>
        <v>6.195438422377828</v>
      </c>
      <c r="E170" s="2">
        <f>1000*SUM(C170:C$178)/(A170*SUM(B170:B$178))</f>
        <v>9.08679916938594</v>
      </c>
      <c r="F170" s="3">
        <f t="shared" si="144"/>
        <v>1.1236583200663228</v>
      </c>
      <c r="G170" s="4">
        <f t="shared" si="145"/>
        <v>4207.016561658897</v>
      </c>
      <c r="I170" s="5">
        <f t="shared" si="146"/>
        <v>160115.6120039496</v>
      </c>
      <c r="J170" s="5">
        <f t="shared" si="147"/>
        <v>296712.1966659678</v>
      </c>
      <c r="K170" s="5">
        <f t="shared" si="148"/>
        <v>549840.9964430726</v>
      </c>
      <c r="L170" s="5">
        <f t="shared" si="149"/>
        <v>2302956.030783979</v>
      </c>
      <c r="M170" s="5">
        <f t="shared" si="150"/>
        <v>4267635.954838667</v>
      </c>
      <c r="N170" s="5">
        <f t="shared" si="151"/>
        <v>17874581.96635911</v>
      </c>
      <c r="O170" s="5">
        <f t="shared" si="152"/>
        <v>138735032.80187428</v>
      </c>
      <c r="Q170" s="5">
        <f t="shared" si="153"/>
        <v>17620.68347932573</v>
      </c>
      <c r="R170" s="5">
        <f t="shared" si="154"/>
        <v>32653.10381961691</v>
      </c>
      <c r="S170" s="5">
        <f t="shared" si="155"/>
        <v>60509.86559662563</v>
      </c>
      <c r="T170" s="5">
        <f t="shared" si="156"/>
        <v>253439.74130547518</v>
      </c>
      <c r="U170" s="5">
        <f t="shared" si="157"/>
        <v>469652.28077414</v>
      </c>
      <c r="V170" s="5">
        <f t="shared" si="158"/>
        <v>1967093.3222096313</v>
      </c>
      <c r="W170" s="5">
        <f t="shared" si="159"/>
        <v>15267756.02890865</v>
      </c>
    </row>
    <row r="171" spans="1:23" ht="12.75">
      <c r="A171">
        <v>100000</v>
      </c>
      <c r="B171">
        <v>1122</v>
      </c>
      <c r="C171">
        <v>179985</v>
      </c>
      <c r="D171" s="2">
        <f>100*SUM(B171:B$178)/$D$164</f>
        <v>4.030435022330043</v>
      </c>
      <c r="E171" s="2">
        <f>1000*SUM(C171:C$178)/(A171*SUM(B171:B$178))</f>
        <v>6.602051983584131</v>
      </c>
      <c r="F171" s="3">
        <f t="shared" si="144"/>
        <v>1.178506019389026</v>
      </c>
      <c r="G171" s="4">
        <f t="shared" si="145"/>
        <v>6555.3602169436135</v>
      </c>
      <c r="I171" s="5">
        <f t="shared" si="146"/>
        <v>169579.7048890283</v>
      </c>
      <c r="J171" s="5">
        <f t="shared" si="147"/>
        <v>305356.69163902587</v>
      </c>
      <c r="K171" s="5">
        <f t="shared" si="148"/>
        <v>549845.9216552383</v>
      </c>
      <c r="L171" s="5">
        <f t="shared" si="149"/>
        <v>2154464.698982587</v>
      </c>
      <c r="M171" s="5">
        <f t="shared" si="150"/>
        <v>3879474.9239887176</v>
      </c>
      <c r="N171" s="5">
        <f t="shared" si="151"/>
        <v>15200970.754062558</v>
      </c>
      <c r="O171" s="5">
        <f t="shared" si="152"/>
        <v>107251472.70919974</v>
      </c>
      <c r="Q171" s="5">
        <f t="shared" si="153"/>
        <v>25685.908761500945</v>
      </c>
      <c r="R171" s="5">
        <f t="shared" si="154"/>
        <v>46251.7854143362</v>
      </c>
      <c r="S171" s="5">
        <f t="shared" si="155"/>
        <v>83284.094554605</v>
      </c>
      <c r="T171" s="5">
        <f t="shared" si="156"/>
        <v>326332.5863443094</v>
      </c>
      <c r="U171" s="5">
        <f t="shared" si="157"/>
        <v>587616.5370455965</v>
      </c>
      <c r="V171" s="5">
        <f t="shared" si="158"/>
        <v>2302461.5364828184</v>
      </c>
      <c r="W171" s="5">
        <f t="shared" si="159"/>
        <v>16245172.406378862</v>
      </c>
    </row>
    <row r="172" spans="1:23" ht="12.75">
      <c r="A172">
        <v>250000</v>
      </c>
      <c r="B172">
        <v>503</v>
      </c>
      <c r="C172">
        <v>177424</v>
      </c>
      <c r="D172" s="2">
        <f>100*SUM(B172:B$178)/$D$164</f>
        <v>1.968351987649556</v>
      </c>
      <c r="E172" s="2">
        <f>1000*SUM(C172:C$178)/(A172*SUM(B172:B$178))</f>
        <v>4.735182072829132</v>
      </c>
      <c r="F172" s="3">
        <f t="shared" si="144"/>
        <v>1.2677245661662142</v>
      </c>
      <c r="G172" s="4">
        <f t="shared" si="145"/>
        <v>11279.838626798935</v>
      </c>
      <c r="I172" s="5">
        <f t="shared" si="146"/>
        <v>190106.73737849365</v>
      </c>
      <c r="J172" s="5">
        <f t="shared" si="147"/>
        <v>328438.7934701874</v>
      </c>
      <c r="K172" s="5">
        <f t="shared" si="148"/>
        <v>567428.8167987663</v>
      </c>
      <c r="L172" s="5">
        <f t="shared" si="149"/>
        <v>2019618.4377538983</v>
      </c>
      <c r="M172" s="5">
        <f t="shared" si="150"/>
        <v>3489203.234525004</v>
      </c>
      <c r="N172" s="5">
        <f t="shared" si="151"/>
        <v>12418930.757294169</v>
      </c>
      <c r="O172" s="5">
        <f t="shared" si="152"/>
        <v>76365831.422094</v>
      </c>
      <c r="Q172" s="5">
        <f t="shared" si="153"/>
        <v>40147.714376040974</v>
      </c>
      <c r="R172" s="5">
        <f t="shared" si="154"/>
        <v>69361.3864089401</v>
      </c>
      <c r="S172" s="5">
        <f t="shared" si="155"/>
        <v>119832.52345347393</v>
      </c>
      <c r="T172" s="5">
        <f t="shared" si="156"/>
        <v>426513.36457422335</v>
      </c>
      <c r="U172" s="5">
        <f t="shared" si="157"/>
        <v>736867.8080081317</v>
      </c>
      <c r="V172" s="5">
        <f t="shared" si="158"/>
        <v>2622693.397272942</v>
      </c>
      <c r="W172" s="5">
        <f t="shared" si="159"/>
        <v>16127327.365147686</v>
      </c>
    </row>
    <row r="173" spans="1:23" ht="12.75">
      <c r="A173">
        <v>500000</v>
      </c>
      <c r="B173">
        <v>291</v>
      </c>
      <c r="C173">
        <v>203278</v>
      </c>
      <c r="D173" s="2">
        <f>100*SUM(B173:B$178)/$D$164</f>
        <v>1.043906563011156</v>
      </c>
      <c r="E173" s="2">
        <f>1000*SUM(C173:C$178)/(A173*SUM(B173:B$178))</f>
        <v>3.8395105633802817</v>
      </c>
      <c r="F173" s="3">
        <f t="shared" si="144"/>
        <v>1.3521733685010684</v>
      </c>
      <c r="G173" s="4">
        <f t="shared" si="145"/>
        <v>17126.591524241674</v>
      </c>
      <c r="I173" s="5">
        <f t="shared" si="146"/>
        <v>216207.20824889012</v>
      </c>
      <c r="J173" s="5">
        <f t="shared" si="147"/>
        <v>360991.473046776</v>
      </c>
      <c r="K173" s="5">
        <f t="shared" si="148"/>
        <v>602731.262606506</v>
      </c>
      <c r="L173" s="5">
        <f t="shared" si="149"/>
        <v>1981741.849231838</v>
      </c>
      <c r="M173" s="5">
        <f t="shared" si="150"/>
        <v>3308825.4325411273</v>
      </c>
      <c r="N173" s="5">
        <f t="shared" si="151"/>
        <v>10879206.436236078</v>
      </c>
      <c r="O173" s="5">
        <f t="shared" si="152"/>
        <v>59723789.31600897</v>
      </c>
      <c r="Q173" s="5">
        <f t="shared" si="153"/>
        <v>56311.13775567858</v>
      </c>
      <c r="R173" s="5">
        <f t="shared" si="154"/>
        <v>94020.17967856854</v>
      </c>
      <c r="S173" s="5">
        <f t="shared" si="155"/>
        <v>156981.27473723242</v>
      </c>
      <c r="T173" s="5">
        <f t="shared" si="156"/>
        <v>516144.39302053244</v>
      </c>
      <c r="U173" s="5">
        <f t="shared" si="157"/>
        <v>861783.1304071365</v>
      </c>
      <c r="V173" s="5">
        <f t="shared" si="158"/>
        <v>2833487.8252446037</v>
      </c>
      <c r="W173" s="5">
        <f t="shared" si="159"/>
        <v>15555052.741781889</v>
      </c>
    </row>
    <row r="174" spans="1:23" ht="12.75">
      <c r="A174">
        <v>1000000</v>
      </c>
      <c r="B174">
        <v>173</v>
      </c>
      <c r="C174">
        <v>251172</v>
      </c>
      <c r="D174" s="2">
        <f>100*SUM(B174:B$178)/$D$164</f>
        <v>0.5090882358346658</v>
      </c>
      <c r="E174" s="2">
        <f>1000*SUM(C174:C$178)/(A174*SUM(B174:B$178))</f>
        <v>3.202682310469314</v>
      </c>
      <c r="F174" s="3">
        <f t="shared" si="144"/>
        <v>1.4539919330386484</v>
      </c>
      <c r="G174" s="4">
        <f t="shared" si="145"/>
        <v>26474.028990085775</v>
      </c>
      <c r="I174" s="5">
        <f t="shared" si="146"/>
        <v>256483.07806524262</v>
      </c>
      <c r="J174" s="5">
        <f t="shared" si="147"/>
        <v>413138.45981229504</v>
      </c>
      <c r="K174" s="5">
        <f t="shared" si="148"/>
        <v>665476.2109984421</v>
      </c>
      <c r="L174" s="5">
        <f t="shared" si="149"/>
        <v>2013062.9282323236</v>
      </c>
      <c r="M174" s="5">
        <f t="shared" si="150"/>
        <v>3242606.584219075</v>
      </c>
      <c r="N174" s="5">
        <f t="shared" si="151"/>
        <v>9808872.19956349</v>
      </c>
      <c r="O174" s="5">
        <f t="shared" si="152"/>
        <v>47794816.782928474</v>
      </c>
      <c r="Q174" s="5">
        <f t="shared" si="153"/>
        <v>80083.83386226595</v>
      </c>
      <c r="R174" s="5">
        <f t="shared" si="154"/>
        <v>128997.64002872788</v>
      </c>
      <c r="S174" s="5">
        <f t="shared" si="155"/>
        <v>207787.14417694608</v>
      </c>
      <c r="T174" s="5">
        <f t="shared" si="156"/>
        <v>628555.2961815103</v>
      </c>
      <c r="U174" s="5">
        <f t="shared" si="157"/>
        <v>1012465.8863663286</v>
      </c>
      <c r="V174" s="5">
        <f t="shared" si="158"/>
        <v>3062705.33530568</v>
      </c>
      <c r="W174" s="5">
        <f t="shared" si="159"/>
        <v>14923371.146332879</v>
      </c>
    </row>
    <row r="175" spans="1:23" ht="12.75">
      <c r="A175">
        <v>2000000</v>
      </c>
      <c r="B175">
        <v>69</v>
      </c>
      <c r="C175">
        <v>202285</v>
      </c>
      <c r="D175" s="2">
        <f>100*SUM(B175:B$178)/$D$164</f>
        <v>0.1911378213964088</v>
      </c>
      <c r="E175" s="2">
        <f>1000*SUM(C175:C$178)/(A175*SUM(B175:B$178))</f>
        <v>3.0575528846153848</v>
      </c>
      <c r="F175" s="3">
        <f t="shared" si="144"/>
        <v>1.4860142392825682</v>
      </c>
      <c r="G175" s="4">
        <f t="shared" si="145"/>
        <v>29616.6894363272</v>
      </c>
      <c r="I175" s="5">
        <f t="shared" si="146"/>
        <v>267470.6331034675</v>
      </c>
      <c r="J175" s="5">
        <f t="shared" si="147"/>
        <v>426433.73141681944</v>
      </c>
      <c r="K175" s="5">
        <f t="shared" si="148"/>
        <v>679871.7495827944</v>
      </c>
      <c r="L175" s="5">
        <f t="shared" si="149"/>
        <v>2008133.6442267303</v>
      </c>
      <c r="M175" s="5">
        <f t="shared" si="150"/>
        <v>3201607.2686379678</v>
      </c>
      <c r="N175" s="5">
        <f t="shared" si="151"/>
        <v>9456570.707193071</v>
      </c>
      <c r="O175" s="5">
        <f t="shared" si="152"/>
        <v>44532259.99038392</v>
      </c>
      <c r="Q175" s="5">
        <f t="shared" si="153"/>
        <v>87478.66126839312</v>
      </c>
      <c r="R175" s="5">
        <f t="shared" si="154"/>
        <v>139468.9634192415</v>
      </c>
      <c r="S175" s="5">
        <f t="shared" si="155"/>
        <v>222358.13254569977</v>
      </c>
      <c r="T175" s="5">
        <f t="shared" si="156"/>
        <v>656778.0574887218</v>
      </c>
      <c r="U175" s="5">
        <f t="shared" si="157"/>
        <v>1047114.273884654</v>
      </c>
      <c r="V175" s="5">
        <f t="shared" si="158"/>
        <v>3092855.9747160776</v>
      </c>
      <c r="W175" s="5">
        <f t="shared" si="159"/>
        <v>14564673.669082168</v>
      </c>
    </row>
    <row r="176" spans="1:23" ht="12.75">
      <c r="A176">
        <v>5000000</v>
      </c>
      <c r="B176">
        <v>20</v>
      </c>
      <c r="C176">
        <v>135420</v>
      </c>
      <c r="D176" s="2">
        <f>100*SUM(B176:B$178)/$D$164</f>
        <v>0.06432522835456066</v>
      </c>
      <c r="E176" s="2">
        <f>1000*SUM(C176:C$178)/(A176*SUM(B176:B$178))</f>
        <v>2.478205714285714</v>
      </c>
      <c r="F176" s="3">
        <f t="shared" si="144"/>
        <v>1.6764958289200034</v>
      </c>
      <c r="G176" s="4">
        <f t="shared" si="145"/>
        <v>62405.96896299509</v>
      </c>
      <c r="I176" s="5">
        <f t="shared" si="146"/>
        <v>403911.9329850648</v>
      </c>
      <c r="J176" s="5">
        <f t="shared" si="147"/>
        <v>610725.0480287357</v>
      </c>
      <c r="K176" s="5">
        <f t="shared" si="148"/>
        <v>923431.7033745404</v>
      </c>
      <c r="L176" s="5">
        <f t="shared" si="149"/>
        <v>2411726.0803791685</v>
      </c>
      <c r="M176" s="5">
        <f t="shared" si="150"/>
        <v>3646590.7688995786</v>
      </c>
      <c r="N176" s="5">
        <f t="shared" si="151"/>
        <v>9523799.139326269</v>
      </c>
      <c r="O176" s="5">
        <f t="shared" si="152"/>
        <v>37609059.66235253</v>
      </c>
      <c r="Q176" s="5">
        <f t="shared" si="153"/>
        <v>162985.6353960846</v>
      </c>
      <c r="R176" s="5">
        <f t="shared" si="154"/>
        <v>246438.39876092094</v>
      </c>
      <c r="S176" s="5">
        <f t="shared" si="155"/>
        <v>372621.0855101262</v>
      </c>
      <c r="T176" s="5">
        <f t="shared" si="156"/>
        <v>973174.2875406503</v>
      </c>
      <c r="U176" s="5">
        <f t="shared" si="157"/>
        <v>1471464.1112635094</v>
      </c>
      <c r="V176" s="5">
        <f t="shared" si="158"/>
        <v>3843022.023727068</v>
      </c>
      <c r="W176" s="5">
        <f t="shared" si="159"/>
        <v>15175923.227661705</v>
      </c>
    </row>
    <row r="177" spans="1:23" ht="12.75">
      <c r="A177">
        <v>10000000</v>
      </c>
      <c r="B177">
        <v>15</v>
      </c>
      <c r="C177">
        <v>298266</v>
      </c>
      <c r="D177" s="2">
        <f>100*SUM(B177:B$178)/$D$164</f>
        <v>0.027567955009097426</v>
      </c>
      <c r="E177" s="2">
        <f>1000*SUM(C177:C$178)/(A177*SUM(B177:B$178))</f>
        <v>1.98844</v>
      </c>
      <c r="F177" s="3">
        <f t="shared" si="144"/>
        <v>2.0116951964712073</v>
      </c>
      <c r="G177" s="4">
        <f t="shared" si="145"/>
        <v>170039.30154504118</v>
      </c>
      <c r="I177" s="5">
        <f t="shared" si="146"/>
        <v>752514.7874942587</v>
      </c>
      <c r="J177" s="5">
        <f t="shared" si="147"/>
        <v>1062074.549631738</v>
      </c>
      <c r="K177" s="5">
        <f t="shared" si="148"/>
        <v>1498976.9871918503</v>
      </c>
      <c r="L177" s="5">
        <f t="shared" si="149"/>
        <v>3336170.215007222</v>
      </c>
      <c r="M177" s="5">
        <f t="shared" si="150"/>
        <v>4708560.599050882</v>
      </c>
      <c r="N177" s="5">
        <f t="shared" si="151"/>
        <v>10479520.206336314</v>
      </c>
      <c r="O177" s="5">
        <f t="shared" si="152"/>
        <v>32918087.71057362</v>
      </c>
      <c r="Q177" s="5">
        <f t="shared" si="153"/>
        <v>378444.80471840175</v>
      </c>
      <c r="R177" s="5">
        <f t="shared" si="154"/>
        <v>534124.5145097353</v>
      </c>
      <c r="S177" s="5">
        <f t="shared" si="155"/>
        <v>753845.721868324</v>
      </c>
      <c r="T177" s="5">
        <f t="shared" si="156"/>
        <v>1677782.691460251</v>
      </c>
      <c r="U177" s="5">
        <f t="shared" si="157"/>
        <v>2367967.1496504205</v>
      </c>
      <c r="V177" s="5">
        <f t="shared" si="158"/>
        <v>5270221.986248674</v>
      </c>
      <c r="W177" s="5">
        <f t="shared" si="159"/>
        <v>16554730.195818642</v>
      </c>
    </row>
    <row r="178" spans="1:23" ht="12.75">
      <c r="A178">
        <v>50000000</v>
      </c>
      <c r="B178">
        <v>0</v>
      </c>
      <c r="C178">
        <v>0</v>
      </c>
      <c r="D178" s="2">
        <f>100*SUM(B178:B$178)/$D$164</f>
        <v>0</v>
      </c>
      <c r="E178" s="2" t="e">
        <f>1000*SUM(C178:C$178)/(A178*SUM(B178:B$178))</f>
        <v>#DIV/0!</v>
      </c>
      <c r="F178" s="3" t="e">
        <f t="shared" si="144"/>
        <v>#DIV/0!</v>
      </c>
      <c r="G178" s="4" t="e">
        <f t="shared" si="145"/>
        <v>#DIV/0!</v>
      </c>
      <c r="I178" s="5" t="e">
        <f t="shared" si="146"/>
        <v>#DIV/0!</v>
      </c>
      <c r="J178" s="5" t="e">
        <f t="shared" si="147"/>
        <v>#DIV/0!</v>
      </c>
      <c r="K178" s="5" t="e">
        <f t="shared" si="148"/>
        <v>#DIV/0!</v>
      </c>
      <c r="L178" s="5" t="e">
        <f t="shared" si="149"/>
        <v>#DIV/0!</v>
      </c>
      <c r="M178" s="5" t="e">
        <f t="shared" si="150"/>
        <v>#DIV/0!</v>
      </c>
      <c r="N178" s="5" t="e">
        <f t="shared" si="151"/>
        <v>#DIV/0!</v>
      </c>
      <c r="O178" s="5" t="e">
        <f t="shared" si="152"/>
        <v>#DIV/0!</v>
      </c>
      <c r="Q178" s="5" t="e">
        <f t="shared" si="153"/>
        <v>#DIV/0!</v>
      </c>
      <c r="R178" s="5" t="e">
        <f t="shared" si="154"/>
        <v>#DIV/0!</v>
      </c>
      <c r="S178" s="5" t="e">
        <f t="shared" si="155"/>
        <v>#DIV/0!</v>
      </c>
      <c r="T178" s="5" t="e">
        <f t="shared" si="156"/>
        <v>#DIV/0!</v>
      </c>
      <c r="U178" s="5" t="e">
        <f t="shared" si="157"/>
        <v>#DIV/0!</v>
      </c>
      <c r="V178" s="5" t="e">
        <f t="shared" si="158"/>
        <v>#DIV/0!</v>
      </c>
      <c r="W178" s="5" t="e">
        <f t="shared" si="159"/>
        <v>#DIV/0!</v>
      </c>
    </row>
    <row r="179" spans="1:23" ht="12.75">
      <c r="A179" t="s">
        <v>18</v>
      </c>
      <c r="B179">
        <v>19268</v>
      </c>
      <c r="C179">
        <v>1650251</v>
      </c>
      <c r="H179" t="s">
        <v>19</v>
      </c>
      <c r="I179" s="4">
        <f>I168</f>
        <v>150926.8316292231</v>
      </c>
      <c r="J179" s="4">
        <f>J169</f>
        <v>294357.2884806856</v>
      </c>
      <c r="K179" s="4">
        <f>K170</f>
        <v>549840.9964430726</v>
      </c>
      <c r="L179" s="4">
        <f>L173</f>
        <v>1981741.849231838</v>
      </c>
      <c r="M179" s="4">
        <f>M174</f>
        <v>3242606.584219075</v>
      </c>
      <c r="N179" s="4">
        <f>N176</f>
        <v>9523799.139326269</v>
      </c>
      <c r="O179" s="4">
        <f>O177</f>
        <v>32918087.71057362</v>
      </c>
      <c r="Q179" s="4">
        <f>Q168</f>
        <v>2188.745896020102</v>
      </c>
      <c r="R179" s="4">
        <f>R169</f>
        <v>12708.479308332098</v>
      </c>
      <c r="S179" s="4">
        <f>S170</f>
        <v>60509.86559662563</v>
      </c>
      <c r="T179" s="4">
        <f>T173</f>
        <v>516144.39302053244</v>
      </c>
      <c r="U179" s="4">
        <f>U174</f>
        <v>1012465.8863663286</v>
      </c>
      <c r="V179" s="4">
        <f>V176</f>
        <v>3843022.023727068</v>
      </c>
      <c r="W179" s="4">
        <f>W177</f>
        <v>16554730.195818642</v>
      </c>
    </row>
    <row r="180" spans="1:3" ht="12.75">
      <c r="A180" t="s">
        <v>20</v>
      </c>
      <c r="B180">
        <f>B179-SUM(B166:B178)</f>
        <v>0</v>
      </c>
      <c r="C180">
        <f>C179-SUM(C166:C178)</f>
        <v>1</v>
      </c>
    </row>
    <row r="181" ht="12.75">
      <c r="C181">
        <f>C179/D164</f>
        <v>30.329363547812022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piketty</cp:lastModifiedBy>
  <cp:lastPrinted>2003-02-25T08:31:17Z</cp:lastPrinted>
  <dcterms:created xsi:type="dcterms:W3CDTF">2001-12-18T12:36:50Z</dcterms:created>
  <dcterms:modified xsi:type="dcterms:W3CDTF">2007-06-19T09:40:14Z</dcterms:modified>
  <cp:category/>
  <cp:version/>
  <cp:contentType/>
  <cp:contentStatus/>
</cp:coreProperties>
</file>