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drawings/drawing11.xml" ContentType="application/vnd.openxmlformats-officedocument.drawing+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2424" yWindow="0" windowWidth="14040" windowHeight="12816" tabRatio="833"/>
  </bookViews>
  <sheets>
    <sheet name="Sommaire" sheetId="10" r:id="rId1"/>
    <sheet name="T0" sheetId="13" r:id="rId2"/>
    <sheet name="T1" sheetId="14" r:id="rId3"/>
    <sheet name="T2" sheetId="15" r:id="rId4"/>
    <sheet name="T3" sheetId="16" r:id="rId5"/>
    <sheet name="T0EN" sheetId="17" r:id="rId6"/>
    <sheet name="T1EN" sheetId="18" r:id="rId7"/>
    <sheet name="T2EN" sheetId="19" r:id="rId8"/>
    <sheet name="T3EN" sheetId="20" r:id="rId9"/>
    <sheet name="Infos zone€" sheetId="1" r:id="rId10"/>
    <sheet name="Parlement Européen" sheetId="12" r:id="rId11"/>
    <sheet name="Parlements nationaux" sheetId="2" r:id="rId12"/>
    <sheet name="a)Plus forte moyenne" sheetId="3" r:id="rId13"/>
    <sheet name="b)Plus fort reste" sheetId="4" r:id="rId14"/>
    <sheet name="c)Plus forte moyenne" sheetId="8" r:id="rId15"/>
    <sheet name="d) Plus fort reste" sheetId="9" r:id="rId16"/>
    <sheet name="Résumé des sièges" sheetId="7" r:id="rId17"/>
    <sheet name="Récap" sheetId="11" r:id="rId18"/>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E25" i="20" l="1"/>
  <c r="E26" i="20"/>
  <c r="E27" i="20"/>
  <c r="E28" i="20"/>
  <c r="F28" i="20"/>
  <c r="C25" i="20"/>
  <c r="C26" i="20"/>
  <c r="C27" i="20"/>
  <c r="C28" i="20"/>
  <c r="D28" i="20"/>
  <c r="F27" i="20"/>
  <c r="D27" i="20"/>
  <c r="F26" i="20"/>
  <c r="D26" i="20"/>
  <c r="F25" i="20"/>
  <c r="D25" i="20"/>
  <c r="F24" i="20"/>
  <c r="D24" i="20"/>
  <c r="F23" i="20"/>
  <c r="D23" i="20"/>
  <c r="F22" i="20"/>
  <c r="D22" i="20"/>
  <c r="F21" i="20"/>
  <c r="D21" i="20"/>
  <c r="F20" i="20"/>
  <c r="D20" i="20"/>
  <c r="F19" i="20"/>
  <c r="D19" i="20"/>
  <c r="F18" i="20"/>
  <c r="D18" i="20"/>
  <c r="F17" i="20"/>
  <c r="D17" i="20"/>
  <c r="F16" i="20"/>
  <c r="D16" i="20"/>
  <c r="F15" i="20"/>
  <c r="D15" i="20"/>
  <c r="F14" i="20"/>
  <c r="D14" i="20"/>
  <c r="F13" i="20"/>
  <c r="D13" i="20"/>
  <c r="F12" i="20"/>
  <c r="D12" i="20"/>
  <c r="F11" i="20"/>
  <c r="D11" i="20"/>
  <c r="F10" i="20"/>
  <c r="D10" i="20"/>
  <c r="F9" i="20"/>
  <c r="D9" i="20"/>
  <c r="F8" i="20"/>
  <c r="D8" i="20"/>
  <c r="F7" i="20"/>
  <c r="D7" i="20"/>
  <c r="F6" i="20"/>
  <c r="D6" i="20"/>
  <c r="G25" i="19"/>
  <c r="F25" i="19"/>
  <c r="E25" i="19"/>
  <c r="D25" i="19"/>
  <c r="C26" i="18"/>
  <c r="D7" i="18"/>
  <c r="E7" i="18"/>
  <c r="C6" i="19"/>
  <c r="D8" i="18"/>
  <c r="E8" i="18"/>
  <c r="C7" i="19"/>
  <c r="D9" i="18"/>
  <c r="E9" i="18"/>
  <c r="C8" i="19"/>
  <c r="D10" i="18"/>
  <c r="E10" i="18"/>
  <c r="C9" i="19"/>
  <c r="D11" i="18"/>
  <c r="E11" i="18"/>
  <c r="C10" i="19"/>
  <c r="D12" i="18"/>
  <c r="E12" i="18"/>
  <c r="C11" i="19"/>
  <c r="D13" i="18"/>
  <c r="E13" i="18"/>
  <c r="C12" i="19"/>
  <c r="D14" i="18"/>
  <c r="E14" i="18"/>
  <c r="C13" i="19"/>
  <c r="D15" i="18"/>
  <c r="E15" i="18"/>
  <c r="C14" i="19"/>
  <c r="D16" i="18"/>
  <c r="E16" i="18"/>
  <c r="C15" i="19"/>
  <c r="D17" i="18"/>
  <c r="E17" i="18"/>
  <c r="C16" i="19"/>
  <c r="D18" i="18"/>
  <c r="E18" i="18"/>
  <c r="C17" i="19"/>
  <c r="D19" i="18"/>
  <c r="E19" i="18"/>
  <c r="C18" i="19"/>
  <c r="D20" i="18"/>
  <c r="E20" i="18"/>
  <c r="C19" i="19"/>
  <c r="D21" i="18"/>
  <c r="E21" i="18"/>
  <c r="C20" i="19"/>
  <c r="D22" i="18"/>
  <c r="E22" i="18"/>
  <c r="C21" i="19"/>
  <c r="D23" i="18"/>
  <c r="E23" i="18"/>
  <c r="C22" i="19"/>
  <c r="D24" i="18"/>
  <c r="E24" i="18"/>
  <c r="C23" i="19"/>
  <c r="D25" i="18"/>
  <c r="E25" i="18"/>
  <c r="C24" i="19"/>
  <c r="C25" i="19"/>
  <c r="F7" i="18"/>
  <c r="F8" i="18"/>
  <c r="F9" i="18"/>
  <c r="F10" i="18"/>
  <c r="F11" i="18"/>
  <c r="F12" i="18"/>
  <c r="F13" i="18"/>
  <c r="F14" i="18"/>
  <c r="F15" i="18"/>
  <c r="F16" i="18"/>
  <c r="F17" i="18"/>
  <c r="F18" i="18"/>
  <c r="F19" i="18"/>
  <c r="F20" i="18"/>
  <c r="F21" i="18"/>
  <c r="F22" i="18"/>
  <c r="F23" i="18"/>
  <c r="F24" i="18"/>
  <c r="F25" i="18"/>
  <c r="F26" i="18"/>
  <c r="E26" i="18"/>
  <c r="D26" i="18"/>
  <c r="C26" i="17"/>
  <c r="D7" i="17"/>
  <c r="E7" i="17"/>
  <c r="D8" i="17"/>
  <c r="E8" i="17"/>
  <c r="D9" i="17"/>
  <c r="E9" i="17"/>
  <c r="D10" i="17"/>
  <c r="E10" i="17"/>
  <c r="D11" i="17"/>
  <c r="E11" i="17"/>
  <c r="D12" i="17"/>
  <c r="E12" i="17"/>
  <c r="D13" i="17"/>
  <c r="E13" i="17"/>
  <c r="D14" i="17"/>
  <c r="E14" i="17"/>
  <c r="D15" i="17"/>
  <c r="E15" i="17"/>
  <c r="D16" i="17"/>
  <c r="E16" i="17"/>
  <c r="D17" i="17"/>
  <c r="E17" i="17"/>
  <c r="D18" i="17"/>
  <c r="E18" i="17"/>
  <c r="D19" i="17"/>
  <c r="E19" i="17"/>
  <c r="D20" i="17"/>
  <c r="E20" i="17"/>
  <c r="D21" i="17"/>
  <c r="E21" i="17"/>
  <c r="D22" i="17"/>
  <c r="E22" i="17"/>
  <c r="D23" i="17"/>
  <c r="E23" i="17"/>
  <c r="D24" i="17"/>
  <c r="E24" i="17"/>
  <c r="D25" i="17"/>
  <c r="E25" i="17"/>
  <c r="E26" i="17"/>
  <c r="D26" i="17"/>
  <c r="C25" i="16"/>
  <c r="D6" i="16"/>
  <c r="E25" i="16"/>
  <c r="F6" i="16"/>
  <c r="D7" i="16"/>
  <c r="F7" i="16"/>
  <c r="D8" i="16"/>
  <c r="F8" i="16"/>
  <c r="D9" i="16"/>
  <c r="F9" i="16"/>
  <c r="D10" i="16"/>
  <c r="F10" i="16"/>
  <c r="D11" i="16"/>
  <c r="F11" i="16"/>
  <c r="D12" i="16"/>
  <c r="F12" i="16"/>
  <c r="D13" i="16"/>
  <c r="F13" i="16"/>
  <c r="D14" i="16"/>
  <c r="F14" i="16"/>
  <c r="D15" i="16"/>
  <c r="F15" i="16"/>
  <c r="D16" i="16"/>
  <c r="F16" i="16"/>
  <c r="D17" i="16"/>
  <c r="F17" i="16"/>
  <c r="D18" i="16"/>
  <c r="F18" i="16"/>
  <c r="D19" i="16"/>
  <c r="F19" i="16"/>
  <c r="D20" i="16"/>
  <c r="F20" i="16"/>
  <c r="D21" i="16"/>
  <c r="F21" i="16"/>
  <c r="D22" i="16"/>
  <c r="F22" i="16"/>
  <c r="D23" i="16"/>
  <c r="F23" i="16"/>
  <c r="D24" i="16"/>
  <c r="F24" i="16"/>
  <c r="D25" i="16"/>
  <c r="F25" i="16"/>
  <c r="C26" i="16"/>
  <c r="D26" i="16"/>
  <c r="E26" i="16"/>
  <c r="F26" i="16"/>
  <c r="C27" i="16"/>
  <c r="D27" i="16"/>
  <c r="E27" i="16"/>
  <c r="F27" i="16"/>
  <c r="C28" i="16"/>
  <c r="D28" i="16"/>
  <c r="E28" i="16"/>
  <c r="F28" i="16"/>
  <c r="C26" i="14"/>
  <c r="D7" i="14"/>
  <c r="E7" i="14"/>
  <c r="C6" i="15"/>
  <c r="D8" i="14"/>
  <c r="E8" i="14"/>
  <c r="C7" i="15"/>
  <c r="D9" i="14"/>
  <c r="E9" i="14"/>
  <c r="C8" i="15"/>
  <c r="D10" i="14"/>
  <c r="E10" i="14"/>
  <c r="C9" i="15"/>
  <c r="D11" i="14"/>
  <c r="E11" i="14"/>
  <c r="C10" i="15"/>
  <c r="D12" i="14"/>
  <c r="E12" i="14"/>
  <c r="C11" i="15"/>
  <c r="D13" i="14"/>
  <c r="E13" i="14"/>
  <c r="C12" i="15"/>
  <c r="D14" i="14"/>
  <c r="E14" i="14"/>
  <c r="C13" i="15"/>
  <c r="D15" i="14"/>
  <c r="E15" i="14"/>
  <c r="C14" i="15"/>
  <c r="D16" i="14"/>
  <c r="E16" i="14"/>
  <c r="C15" i="15"/>
  <c r="D17" i="14"/>
  <c r="E17" i="14"/>
  <c r="C16" i="15"/>
  <c r="D18" i="14"/>
  <c r="E18" i="14"/>
  <c r="C17" i="15"/>
  <c r="D19" i="14"/>
  <c r="E19" i="14"/>
  <c r="C18" i="15"/>
  <c r="D20" i="14"/>
  <c r="E20" i="14"/>
  <c r="C19" i="15"/>
  <c r="D21" i="14"/>
  <c r="E21" i="14"/>
  <c r="C20" i="15"/>
  <c r="D22" i="14"/>
  <c r="E22" i="14"/>
  <c r="C21" i="15"/>
  <c r="D23" i="14"/>
  <c r="E23" i="14"/>
  <c r="C22" i="15"/>
  <c r="D24" i="14"/>
  <c r="E24" i="14"/>
  <c r="C23" i="15"/>
  <c r="D25" i="14"/>
  <c r="E25" i="14"/>
  <c r="C24" i="15"/>
  <c r="C25" i="15"/>
  <c r="D25" i="15"/>
  <c r="E25" i="15"/>
  <c r="F25" i="15"/>
  <c r="G25" i="15"/>
  <c r="F7" i="14"/>
  <c r="F8" i="14"/>
  <c r="F9" i="14"/>
  <c r="F10" i="14"/>
  <c r="F11" i="14"/>
  <c r="F12" i="14"/>
  <c r="F13" i="14"/>
  <c r="F14" i="14"/>
  <c r="F15" i="14"/>
  <c r="F16" i="14"/>
  <c r="F17" i="14"/>
  <c r="F18" i="14"/>
  <c r="F19" i="14"/>
  <c r="F20" i="14"/>
  <c r="F21" i="14"/>
  <c r="F22" i="14"/>
  <c r="F23" i="14"/>
  <c r="F24" i="14"/>
  <c r="F25" i="14"/>
  <c r="D26" i="14"/>
  <c r="E26" i="14"/>
  <c r="F26" i="14"/>
  <c r="C26" i="13"/>
  <c r="D7" i="13"/>
  <c r="E7" i="13"/>
  <c r="D8" i="13"/>
  <c r="E8" i="13"/>
  <c r="D9" i="13"/>
  <c r="E9" i="13"/>
  <c r="D10" i="13"/>
  <c r="E10" i="13"/>
  <c r="D11" i="13"/>
  <c r="E11" i="13"/>
  <c r="D12" i="13"/>
  <c r="E12" i="13"/>
  <c r="D13" i="13"/>
  <c r="E13" i="13"/>
  <c r="D14" i="13"/>
  <c r="E14" i="13"/>
  <c r="D15" i="13"/>
  <c r="E15" i="13"/>
  <c r="D16" i="13"/>
  <c r="E16" i="13"/>
  <c r="D17" i="13"/>
  <c r="E17" i="13"/>
  <c r="D18" i="13"/>
  <c r="E18" i="13"/>
  <c r="D19" i="13"/>
  <c r="E19" i="13"/>
  <c r="D20" i="13"/>
  <c r="E20" i="13"/>
  <c r="D21" i="13"/>
  <c r="E21" i="13"/>
  <c r="D22" i="13"/>
  <c r="E22" i="13"/>
  <c r="D23" i="13"/>
  <c r="E23" i="13"/>
  <c r="D24" i="13"/>
  <c r="E24" i="13"/>
  <c r="D25" i="13"/>
  <c r="E25" i="13"/>
  <c r="D26" i="13"/>
  <c r="E26" i="13"/>
  <c r="I18" i="12"/>
  <c r="C19" i="12"/>
  <c r="D11" i="12"/>
  <c r="D12" i="12"/>
  <c r="D13" i="12"/>
  <c r="D14" i="12"/>
  <c r="D15" i="12"/>
  <c r="D16" i="12"/>
  <c r="D17" i="12"/>
  <c r="D18" i="12"/>
  <c r="D10" i="12"/>
  <c r="D24" i="11"/>
  <c r="E9" i="11"/>
  <c r="E6" i="11"/>
  <c r="E17" i="11"/>
  <c r="E7" i="11"/>
  <c r="E10" i="11"/>
  <c r="E12" i="11"/>
  <c r="E16" i="11"/>
  <c r="E14" i="11"/>
  <c r="E19" i="11"/>
  <c r="E20" i="11"/>
  <c r="E22" i="11"/>
  <c r="C50" i="9"/>
  <c r="D43" i="9"/>
  <c r="D7" i="1"/>
  <c r="G7" i="1"/>
  <c r="D42" i="9"/>
  <c r="D44" i="9"/>
  <c r="D50" i="9"/>
  <c r="G50" i="9"/>
  <c r="C49" i="9"/>
  <c r="D49" i="9"/>
  <c r="G49" i="9"/>
  <c r="C48" i="9"/>
  <c r="D48" i="9"/>
  <c r="G48" i="9"/>
  <c r="C47" i="9"/>
  <c r="D47" i="9"/>
  <c r="G47" i="9"/>
  <c r="C12" i="9"/>
  <c r="D8" i="9"/>
  <c r="D5" i="1"/>
  <c r="G5" i="1"/>
  <c r="D7" i="9"/>
  <c r="D9" i="9"/>
  <c r="D12" i="9"/>
  <c r="G12" i="9"/>
  <c r="C13" i="9"/>
  <c r="D13" i="9"/>
  <c r="G13" i="9"/>
  <c r="C14" i="9"/>
  <c r="D14" i="9"/>
  <c r="G14" i="9"/>
  <c r="D17" i="9"/>
  <c r="G17" i="9"/>
  <c r="G18" i="9"/>
  <c r="D16" i="1"/>
  <c r="G16" i="1"/>
  <c r="D357" i="9"/>
  <c r="C370" i="9"/>
  <c r="C371" i="9"/>
  <c r="D359" i="9"/>
  <c r="D363" i="9"/>
  <c r="E363" i="9"/>
  <c r="D364" i="9"/>
  <c r="E364" i="9"/>
  <c r="D365" i="9"/>
  <c r="E365" i="9"/>
  <c r="D366" i="9"/>
  <c r="E366" i="9"/>
  <c r="D367" i="9"/>
  <c r="E367" i="9"/>
  <c r="D368" i="9"/>
  <c r="E368" i="9"/>
  <c r="D369" i="9"/>
  <c r="E369" i="9"/>
  <c r="D362" i="9"/>
  <c r="E362" i="9"/>
  <c r="D340" i="9"/>
  <c r="D343" i="9"/>
  <c r="D344" i="9"/>
  <c r="D345" i="9"/>
  <c r="D346" i="9"/>
  <c r="D347" i="9"/>
  <c r="D348" i="9"/>
  <c r="D349" i="9"/>
  <c r="D350" i="9"/>
  <c r="C351" i="9"/>
  <c r="C352" i="9"/>
  <c r="E346" i="9"/>
  <c r="E345" i="9"/>
  <c r="E344" i="9"/>
  <c r="E347" i="9"/>
  <c r="E348" i="9"/>
  <c r="E349" i="9"/>
  <c r="E350" i="9"/>
  <c r="E343" i="9"/>
  <c r="G332" i="9"/>
  <c r="D21" i="1"/>
  <c r="G21" i="1"/>
  <c r="D320" i="9"/>
  <c r="D322" i="9"/>
  <c r="D325" i="9"/>
  <c r="D326" i="9"/>
  <c r="D327" i="9"/>
  <c r="D328" i="9"/>
  <c r="D329" i="9"/>
  <c r="D330" i="9"/>
  <c r="D331" i="9"/>
  <c r="C332" i="9"/>
  <c r="C333" i="9"/>
  <c r="E326" i="9"/>
  <c r="E327" i="9"/>
  <c r="E328" i="9"/>
  <c r="E329" i="9"/>
  <c r="E330" i="9"/>
  <c r="E331" i="9"/>
  <c r="E325" i="9"/>
  <c r="G314" i="9"/>
  <c r="C302" i="9"/>
  <c r="D298" i="9"/>
  <c r="D299" i="9"/>
  <c r="D302" i="9"/>
  <c r="C303" i="9"/>
  <c r="D303" i="9"/>
  <c r="C304" i="9"/>
  <c r="D304" i="9"/>
  <c r="C305" i="9"/>
  <c r="D305" i="9"/>
  <c r="C306" i="9"/>
  <c r="D306" i="9"/>
  <c r="C307" i="9"/>
  <c r="D307" i="9"/>
  <c r="C308" i="9"/>
  <c r="D308" i="9"/>
  <c r="C309" i="9"/>
  <c r="D309" i="9"/>
  <c r="C310" i="9"/>
  <c r="D310" i="9"/>
  <c r="C311" i="9"/>
  <c r="D311" i="9"/>
  <c r="C312" i="9"/>
  <c r="D312" i="9"/>
  <c r="C313" i="9"/>
  <c r="D313" i="9"/>
  <c r="C314" i="9"/>
  <c r="C315" i="9"/>
  <c r="E302" i="9"/>
  <c r="E303" i="9"/>
  <c r="E304" i="9"/>
  <c r="E305" i="9"/>
  <c r="E306" i="9"/>
  <c r="E307" i="9"/>
  <c r="E308" i="9"/>
  <c r="E309" i="9"/>
  <c r="E310" i="9"/>
  <c r="E311" i="9"/>
  <c r="E312" i="9"/>
  <c r="E313" i="9"/>
  <c r="D285" i="9"/>
  <c r="D288" i="9"/>
  <c r="D289" i="9"/>
  <c r="D290" i="9"/>
  <c r="C291" i="9"/>
  <c r="C292" i="9"/>
  <c r="E289" i="9"/>
  <c r="E290" i="9"/>
  <c r="E288" i="9"/>
  <c r="D268" i="9"/>
  <c r="D271" i="9"/>
  <c r="D272" i="9"/>
  <c r="D273" i="9"/>
  <c r="D274" i="9"/>
  <c r="D275" i="9"/>
  <c r="D276" i="9"/>
  <c r="C277" i="9"/>
  <c r="C278" i="9"/>
  <c r="E272" i="9"/>
  <c r="E273" i="9"/>
  <c r="E274" i="9"/>
  <c r="E275" i="9"/>
  <c r="E276" i="9"/>
  <c r="E271" i="9"/>
  <c r="C261" i="9"/>
  <c r="D250" i="9"/>
  <c r="D254" i="9"/>
  <c r="E254" i="9"/>
  <c r="D255" i="9"/>
  <c r="E255" i="9"/>
  <c r="D256" i="9"/>
  <c r="E256" i="9"/>
  <c r="D257" i="9"/>
  <c r="E257" i="9"/>
  <c r="D258" i="9"/>
  <c r="E258" i="9"/>
  <c r="D259" i="9"/>
  <c r="E259" i="9"/>
  <c r="D253" i="9"/>
  <c r="E253" i="9"/>
  <c r="D232" i="9"/>
  <c r="D235" i="9"/>
  <c r="D236" i="9"/>
  <c r="D237" i="9"/>
  <c r="D238" i="9"/>
  <c r="D239" i="9"/>
  <c r="D240" i="9"/>
  <c r="D241" i="9"/>
  <c r="C242" i="9"/>
  <c r="C243" i="9"/>
  <c r="E236" i="9"/>
  <c r="E237" i="9"/>
  <c r="E238" i="9"/>
  <c r="E239" i="9"/>
  <c r="E240" i="9"/>
  <c r="E241" i="9"/>
  <c r="E235" i="9"/>
  <c r="G187" i="9"/>
  <c r="G188" i="9"/>
  <c r="G189" i="9"/>
  <c r="G190" i="9"/>
  <c r="G191" i="9"/>
  <c r="G192" i="9"/>
  <c r="G193" i="9"/>
  <c r="G194" i="9"/>
  <c r="G195" i="9"/>
  <c r="G197" i="9"/>
  <c r="G198" i="9"/>
  <c r="D15" i="1"/>
  <c r="G15" i="1"/>
  <c r="D204" i="9"/>
  <c r="C209" i="9"/>
  <c r="D205" i="9"/>
  <c r="D206" i="9"/>
  <c r="D209" i="9"/>
  <c r="C210" i="9"/>
  <c r="D210" i="9"/>
  <c r="C211" i="9"/>
  <c r="D211" i="9"/>
  <c r="C212" i="9"/>
  <c r="D212" i="9"/>
  <c r="D213" i="9"/>
  <c r="C214" i="9"/>
  <c r="D214" i="9"/>
  <c r="D215" i="9"/>
  <c r="C216" i="9"/>
  <c r="D216" i="9"/>
  <c r="C217" i="9"/>
  <c r="D217" i="9"/>
  <c r="D218" i="9"/>
  <c r="D219" i="9"/>
  <c r="D220" i="9"/>
  <c r="D221" i="9"/>
  <c r="D222" i="9"/>
  <c r="C224" i="9"/>
  <c r="C225" i="9"/>
  <c r="E220" i="9"/>
  <c r="E221" i="9"/>
  <c r="E222" i="9"/>
  <c r="C223" i="9"/>
  <c r="D223" i="9"/>
  <c r="E223" i="9"/>
  <c r="E210" i="9"/>
  <c r="E211" i="9"/>
  <c r="E212" i="9"/>
  <c r="E213" i="9"/>
  <c r="E214" i="9"/>
  <c r="E215" i="9"/>
  <c r="E216" i="9"/>
  <c r="E217" i="9"/>
  <c r="E218" i="9"/>
  <c r="E219" i="9"/>
  <c r="E209" i="9"/>
  <c r="D14" i="1"/>
  <c r="G14" i="1"/>
  <c r="D182" i="9"/>
  <c r="C199" i="9"/>
  <c r="C188" i="9"/>
  <c r="D183" i="9"/>
  <c r="D184" i="9"/>
  <c r="D188" i="9"/>
  <c r="E188" i="9"/>
  <c r="C189" i="9"/>
  <c r="D189" i="9"/>
  <c r="E189" i="9"/>
  <c r="C190" i="9"/>
  <c r="D190" i="9"/>
  <c r="E190" i="9"/>
  <c r="D191" i="9"/>
  <c r="E191" i="9"/>
  <c r="D192" i="9"/>
  <c r="E192" i="9"/>
  <c r="D193" i="9"/>
  <c r="E193" i="9"/>
  <c r="C194" i="9"/>
  <c r="D194" i="9"/>
  <c r="E194" i="9"/>
  <c r="C195" i="9"/>
  <c r="D195" i="9"/>
  <c r="E195" i="9"/>
  <c r="D196" i="9"/>
  <c r="E196" i="9"/>
  <c r="D197" i="9"/>
  <c r="E197" i="9"/>
  <c r="C187" i="9"/>
  <c r="D187" i="9"/>
  <c r="E187" i="9"/>
  <c r="C89" i="9"/>
  <c r="D85" i="9"/>
  <c r="D9" i="1"/>
  <c r="G9" i="1"/>
  <c r="D84" i="9"/>
  <c r="D86" i="9"/>
  <c r="D89" i="9"/>
  <c r="G89" i="9"/>
  <c r="D164" i="9"/>
  <c r="D167" i="9"/>
  <c r="D168" i="9"/>
  <c r="D169" i="9"/>
  <c r="D170" i="9"/>
  <c r="D171" i="9"/>
  <c r="D172" i="9"/>
  <c r="D173" i="9"/>
  <c r="D174" i="9"/>
  <c r="D175" i="9"/>
  <c r="C176" i="9"/>
  <c r="C177" i="9"/>
  <c r="E168" i="9"/>
  <c r="E169" i="9"/>
  <c r="E170" i="9"/>
  <c r="E171" i="9"/>
  <c r="E172" i="9"/>
  <c r="E173" i="9"/>
  <c r="E174" i="9"/>
  <c r="E175" i="9"/>
  <c r="E167" i="9"/>
  <c r="D139" i="9"/>
  <c r="D12" i="1"/>
  <c r="G12" i="1"/>
  <c r="D138" i="9"/>
  <c r="D140" i="9"/>
  <c r="D143" i="9"/>
  <c r="E143" i="9"/>
  <c r="D149" i="9"/>
  <c r="E149" i="9"/>
  <c r="D150" i="9"/>
  <c r="E150" i="9"/>
  <c r="D151" i="9"/>
  <c r="E151" i="9"/>
  <c r="D152" i="9"/>
  <c r="E152" i="9"/>
  <c r="D153" i="9"/>
  <c r="E153" i="9"/>
  <c r="C154" i="9"/>
  <c r="D154" i="9"/>
  <c r="E154" i="9"/>
  <c r="D155" i="9"/>
  <c r="E155" i="9"/>
  <c r="D144" i="9"/>
  <c r="E144" i="9"/>
  <c r="D145" i="9"/>
  <c r="E145" i="9"/>
  <c r="D146" i="9"/>
  <c r="E146" i="9"/>
  <c r="D147" i="9"/>
  <c r="E147" i="9"/>
  <c r="D148" i="9"/>
  <c r="E148" i="9"/>
  <c r="C156" i="9"/>
  <c r="C157" i="9"/>
  <c r="C133" i="9"/>
  <c r="D121" i="9"/>
  <c r="D125" i="9"/>
  <c r="E125" i="9"/>
  <c r="D126" i="9"/>
  <c r="E126" i="9"/>
  <c r="D127" i="9"/>
  <c r="E127" i="9"/>
  <c r="D128" i="9"/>
  <c r="E128" i="9"/>
  <c r="D129" i="9"/>
  <c r="E129" i="9"/>
  <c r="D130" i="9"/>
  <c r="E130" i="9"/>
  <c r="D131" i="9"/>
  <c r="E131" i="9"/>
  <c r="D124" i="9"/>
  <c r="E124" i="9"/>
  <c r="C114" i="9"/>
  <c r="D104" i="9"/>
  <c r="D108" i="9"/>
  <c r="E108" i="9"/>
  <c r="D109" i="9"/>
  <c r="E109" i="9"/>
  <c r="D110" i="9"/>
  <c r="E110" i="9"/>
  <c r="D111" i="9"/>
  <c r="E111" i="9"/>
  <c r="D112" i="9"/>
  <c r="E112" i="9"/>
  <c r="D107" i="9"/>
  <c r="E107" i="9"/>
  <c r="G108" i="9"/>
  <c r="G109" i="9"/>
  <c r="G110" i="9"/>
  <c r="G111" i="9"/>
  <c r="G112" i="9"/>
  <c r="G113" i="9"/>
  <c r="C91" i="9"/>
  <c r="D91" i="9"/>
  <c r="C95" i="9"/>
  <c r="D95" i="9"/>
  <c r="E95" i="9"/>
  <c r="C90" i="9"/>
  <c r="D90" i="9"/>
  <c r="E90" i="9"/>
  <c r="E91" i="9"/>
  <c r="C92" i="9"/>
  <c r="D92" i="9"/>
  <c r="E92" i="9"/>
  <c r="C93" i="9"/>
  <c r="D93" i="9"/>
  <c r="E93" i="9"/>
  <c r="C94" i="9"/>
  <c r="D94" i="9"/>
  <c r="E94" i="9"/>
  <c r="E89" i="9"/>
  <c r="C96" i="9"/>
  <c r="C97" i="9"/>
  <c r="D68" i="9"/>
  <c r="D72" i="9"/>
  <c r="E72" i="9"/>
  <c r="D73" i="9"/>
  <c r="E73" i="9"/>
  <c r="D74" i="9"/>
  <c r="E74" i="9"/>
  <c r="D75" i="9"/>
  <c r="E75" i="9"/>
  <c r="D76" i="9"/>
  <c r="E76" i="9"/>
  <c r="D77" i="9"/>
  <c r="E77" i="9"/>
  <c r="D71" i="9"/>
  <c r="E71" i="9"/>
  <c r="C79" i="9"/>
  <c r="G71" i="9"/>
  <c r="G78" i="9"/>
  <c r="C61" i="9"/>
  <c r="E48" i="9"/>
  <c r="E49" i="9"/>
  <c r="E50" i="9"/>
  <c r="C51" i="9"/>
  <c r="D51" i="9"/>
  <c r="E51" i="9"/>
  <c r="C52" i="9"/>
  <c r="D52" i="9"/>
  <c r="E52" i="9"/>
  <c r="C53" i="9"/>
  <c r="D53" i="9"/>
  <c r="E53" i="9"/>
  <c r="C54" i="9"/>
  <c r="D54" i="9"/>
  <c r="E54" i="9"/>
  <c r="C55" i="9"/>
  <c r="D55" i="9"/>
  <c r="E55" i="9"/>
  <c r="D56" i="9"/>
  <c r="E56" i="9"/>
  <c r="D57" i="9"/>
  <c r="E57" i="9"/>
  <c r="D58" i="9"/>
  <c r="E58" i="9"/>
  <c r="D59" i="9"/>
  <c r="E59" i="9"/>
  <c r="E47" i="9"/>
  <c r="D6" i="1"/>
  <c r="G6" i="1"/>
  <c r="D24" i="9"/>
  <c r="C37" i="9"/>
  <c r="C30" i="9"/>
  <c r="D25" i="9"/>
  <c r="D26" i="9"/>
  <c r="D30" i="9"/>
  <c r="E30" i="9"/>
  <c r="C31" i="9"/>
  <c r="D31" i="9"/>
  <c r="E31" i="9"/>
  <c r="C32" i="9"/>
  <c r="D32" i="9"/>
  <c r="E32" i="9"/>
  <c r="C33" i="9"/>
  <c r="D33" i="9"/>
  <c r="E33" i="9"/>
  <c r="D34" i="9"/>
  <c r="E34" i="9"/>
  <c r="C35" i="9"/>
  <c r="D35" i="9"/>
  <c r="E35" i="9"/>
  <c r="C29" i="9"/>
  <c r="D29" i="9"/>
  <c r="E29" i="9"/>
  <c r="C15" i="9"/>
  <c r="D15" i="9"/>
  <c r="E15" i="9"/>
  <c r="D16" i="9"/>
  <c r="E16" i="9"/>
  <c r="E17" i="9"/>
  <c r="E13" i="9"/>
  <c r="E14" i="9"/>
  <c r="E12" i="9"/>
  <c r="C18" i="9"/>
  <c r="C19" i="9"/>
  <c r="G370" i="9"/>
  <c r="G291" i="9"/>
  <c r="G277" i="9"/>
  <c r="G260" i="9"/>
  <c r="G242" i="9"/>
  <c r="G224" i="9"/>
  <c r="G176" i="9"/>
  <c r="G156" i="9"/>
  <c r="G132" i="9"/>
  <c r="G94" i="9"/>
  <c r="G95" i="9"/>
  <c r="G96" i="9"/>
  <c r="G51" i="9"/>
  <c r="G52" i="9"/>
  <c r="G53" i="9"/>
  <c r="G60" i="9"/>
  <c r="G29" i="9"/>
  <c r="G30" i="9"/>
  <c r="G31" i="9"/>
  <c r="G32" i="9"/>
  <c r="G33" i="9"/>
  <c r="G34" i="9"/>
  <c r="G35" i="9"/>
  <c r="G36" i="9"/>
  <c r="C313" i="8"/>
  <c r="D298" i="8"/>
  <c r="D299" i="8"/>
  <c r="D313" i="8"/>
  <c r="E313" i="8"/>
  <c r="F313" i="8"/>
  <c r="G313" i="8"/>
  <c r="H313" i="8"/>
  <c r="C312" i="8"/>
  <c r="D312" i="8"/>
  <c r="E312" i="8"/>
  <c r="F312" i="8"/>
  <c r="G312" i="8"/>
  <c r="H312" i="8"/>
  <c r="C311" i="8"/>
  <c r="D311" i="8"/>
  <c r="E311" i="8"/>
  <c r="F311" i="8"/>
  <c r="G311" i="8"/>
  <c r="H311" i="8"/>
  <c r="C310" i="8"/>
  <c r="D310" i="8"/>
  <c r="E310" i="8"/>
  <c r="F310" i="8"/>
  <c r="G310" i="8"/>
  <c r="H310" i="8"/>
  <c r="C309" i="8"/>
  <c r="D309" i="8"/>
  <c r="E309" i="8"/>
  <c r="F309" i="8"/>
  <c r="G309" i="8"/>
  <c r="H309" i="8"/>
  <c r="C308" i="8"/>
  <c r="D308" i="8"/>
  <c r="E308" i="8"/>
  <c r="F308" i="8"/>
  <c r="G308" i="8"/>
  <c r="H308" i="8"/>
  <c r="C307" i="8"/>
  <c r="D307" i="8"/>
  <c r="E307" i="8"/>
  <c r="F307" i="8"/>
  <c r="G307" i="8"/>
  <c r="H307" i="8"/>
  <c r="C306" i="8"/>
  <c r="D306" i="8"/>
  <c r="E306" i="8"/>
  <c r="F306" i="8"/>
  <c r="G306" i="8"/>
  <c r="H306" i="8"/>
  <c r="C305" i="8"/>
  <c r="D305" i="8"/>
  <c r="H305" i="8"/>
  <c r="C304" i="8"/>
  <c r="D304" i="8"/>
  <c r="E304" i="8"/>
  <c r="F304" i="8"/>
  <c r="G304" i="8"/>
  <c r="H304" i="8"/>
  <c r="C303" i="8"/>
  <c r="D303" i="8"/>
  <c r="G303" i="8"/>
  <c r="H303" i="8"/>
  <c r="C302" i="8"/>
  <c r="D302" i="8"/>
  <c r="H302" i="8"/>
  <c r="G302" i="8"/>
  <c r="F303" i="8"/>
  <c r="F302" i="8"/>
  <c r="C209" i="8"/>
  <c r="D205" i="8"/>
  <c r="D204" i="8"/>
  <c r="D206" i="8"/>
  <c r="D209" i="8"/>
  <c r="K209" i="8"/>
  <c r="C210" i="8"/>
  <c r="D210" i="8"/>
  <c r="J210" i="8"/>
  <c r="K210" i="8"/>
  <c r="C211" i="8"/>
  <c r="D211" i="8"/>
  <c r="J211" i="8"/>
  <c r="K211" i="8"/>
  <c r="C212" i="8"/>
  <c r="D212" i="8"/>
  <c r="J212" i="8"/>
  <c r="K212" i="8"/>
  <c r="D213" i="8"/>
  <c r="J213" i="8"/>
  <c r="K213" i="8"/>
  <c r="C214" i="8"/>
  <c r="D214" i="8"/>
  <c r="J214" i="8"/>
  <c r="K214" i="8"/>
  <c r="D215" i="8"/>
  <c r="J215" i="8"/>
  <c r="K215" i="8"/>
  <c r="C216" i="8"/>
  <c r="D216" i="8"/>
  <c r="J216" i="8"/>
  <c r="K216" i="8"/>
  <c r="C217" i="8"/>
  <c r="D217" i="8"/>
  <c r="J217" i="8"/>
  <c r="K217" i="8"/>
  <c r="D218" i="8"/>
  <c r="J218" i="8"/>
  <c r="K218" i="8"/>
  <c r="D219" i="8"/>
  <c r="J219" i="8"/>
  <c r="K219" i="8"/>
  <c r="D220" i="8"/>
  <c r="J220" i="8"/>
  <c r="K220" i="8"/>
  <c r="D221" i="8"/>
  <c r="J221" i="8"/>
  <c r="K221" i="8"/>
  <c r="D222" i="8"/>
  <c r="J222" i="8"/>
  <c r="K222" i="8"/>
  <c r="L224" i="8"/>
  <c r="J209" i="8"/>
  <c r="I214" i="8"/>
  <c r="H211" i="8"/>
  <c r="H210" i="8"/>
  <c r="H209" i="8"/>
  <c r="G212" i="8"/>
  <c r="G210" i="8"/>
  <c r="F212" i="8"/>
  <c r="F209" i="8"/>
  <c r="G220" i="8"/>
  <c r="H220" i="8"/>
  <c r="I220" i="8"/>
  <c r="G221" i="8"/>
  <c r="H221" i="8"/>
  <c r="I221" i="8"/>
  <c r="G222" i="8"/>
  <c r="H222" i="8"/>
  <c r="I222" i="8"/>
  <c r="F220" i="8"/>
  <c r="F221" i="8"/>
  <c r="F222" i="8"/>
  <c r="E220" i="8"/>
  <c r="E221" i="8"/>
  <c r="E222" i="8"/>
  <c r="G219" i="8"/>
  <c r="H219" i="8"/>
  <c r="I219" i="8"/>
  <c r="H212" i="8"/>
  <c r="I212" i="8"/>
  <c r="I211" i="8"/>
  <c r="I210" i="8"/>
  <c r="C223" i="8"/>
  <c r="D182" i="8"/>
  <c r="D183" i="8"/>
  <c r="D184" i="8"/>
  <c r="C187" i="8"/>
  <c r="D187" i="8"/>
  <c r="C152" i="2"/>
  <c r="C188" i="8"/>
  <c r="C189" i="8"/>
  <c r="C190" i="8"/>
  <c r="C194" i="8"/>
  <c r="C195" i="8"/>
  <c r="I156" i="8"/>
  <c r="D139" i="8"/>
  <c r="D138" i="8"/>
  <c r="D140" i="8"/>
  <c r="D150" i="8"/>
  <c r="H150" i="8"/>
  <c r="D153" i="8"/>
  <c r="H153" i="8"/>
  <c r="D152" i="8"/>
  <c r="H152" i="8"/>
  <c r="D151" i="8"/>
  <c r="H151" i="8"/>
  <c r="D149" i="8"/>
  <c r="H149" i="8"/>
  <c r="D148" i="8"/>
  <c r="H148" i="8"/>
  <c r="D145" i="8"/>
  <c r="H145" i="8"/>
  <c r="F153" i="8"/>
  <c r="G153" i="8"/>
  <c r="F152" i="8"/>
  <c r="G152" i="8"/>
  <c r="F151" i="8"/>
  <c r="G151" i="8"/>
  <c r="F150" i="8"/>
  <c r="G150" i="8"/>
  <c r="F149" i="8"/>
  <c r="G149" i="8"/>
  <c r="F148" i="8"/>
  <c r="G148" i="8"/>
  <c r="D144" i="8"/>
  <c r="G144" i="8"/>
  <c r="E153" i="8"/>
  <c r="D143" i="8"/>
  <c r="F143" i="8"/>
  <c r="E152" i="8"/>
  <c r="E151" i="8"/>
  <c r="E150" i="8"/>
  <c r="E149" i="8"/>
  <c r="E148" i="8"/>
  <c r="E145" i="8"/>
  <c r="D146" i="8"/>
  <c r="E146" i="8"/>
  <c r="D147" i="8"/>
  <c r="E147" i="8"/>
  <c r="C154" i="8"/>
  <c r="D154" i="8"/>
  <c r="E154" i="8"/>
  <c r="D155" i="8"/>
  <c r="E155" i="8"/>
  <c r="E144" i="8"/>
  <c r="E143" i="8"/>
  <c r="H154" i="8"/>
  <c r="G154" i="8"/>
  <c r="F154" i="8"/>
  <c r="C95" i="8"/>
  <c r="D85" i="8"/>
  <c r="D84" i="8"/>
  <c r="D86" i="8"/>
  <c r="D95" i="8"/>
  <c r="G95" i="8"/>
  <c r="C94" i="8"/>
  <c r="D94" i="8"/>
  <c r="G94" i="8"/>
  <c r="C93" i="8"/>
  <c r="D93" i="8"/>
  <c r="G93" i="8"/>
  <c r="C92" i="8"/>
  <c r="D92" i="8"/>
  <c r="G92" i="8"/>
  <c r="C91" i="8"/>
  <c r="D91" i="8"/>
  <c r="G91" i="8"/>
  <c r="F91" i="8"/>
  <c r="C90" i="8"/>
  <c r="D90" i="8"/>
  <c r="G90" i="8"/>
  <c r="C89" i="8"/>
  <c r="D89" i="8"/>
  <c r="G89" i="8"/>
  <c r="E89" i="8"/>
  <c r="C96" i="8"/>
  <c r="C48" i="8"/>
  <c r="D43" i="8"/>
  <c r="D42" i="8"/>
  <c r="D44" i="8"/>
  <c r="D48" i="8"/>
  <c r="C47" i="8"/>
  <c r="D47" i="8"/>
  <c r="E47" i="8"/>
  <c r="C55" i="8"/>
  <c r="C54" i="8"/>
  <c r="C53" i="8"/>
  <c r="C52" i="8"/>
  <c r="C51" i="8"/>
  <c r="C50" i="8"/>
  <c r="C49" i="8"/>
  <c r="C30" i="8"/>
  <c r="D25" i="8"/>
  <c r="D24" i="8"/>
  <c r="D26" i="8"/>
  <c r="D30" i="8"/>
  <c r="F30" i="8"/>
  <c r="E30" i="8"/>
  <c r="C29" i="8"/>
  <c r="D29" i="8"/>
  <c r="E29" i="8"/>
  <c r="C35" i="8"/>
  <c r="C33" i="8"/>
  <c r="C32" i="8"/>
  <c r="C31" i="8"/>
  <c r="G18" i="8"/>
  <c r="C13" i="8"/>
  <c r="D8" i="8"/>
  <c r="D7" i="8"/>
  <c r="D9" i="8"/>
  <c r="D13" i="8"/>
  <c r="F13" i="8"/>
  <c r="C12" i="8"/>
  <c r="D12" i="8"/>
  <c r="F12" i="8"/>
  <c r="D16" i="8"/>
  <c r="E16" i="8"/>
  <c r="E13" i="8"/>
  <c r="C14" i="8"/>
  <c r="D14" i="8"/>
  <c r="E14" i="8"/>
  <c r="C15" i="8"/>
  <c r="D15" i="8"/>
  <c r="E15" i="8"/>
  <c r="D17" i="8"/>
  <c r="E17" i="8"/>
  <c r="E12" i="8"/>
  <c r="C18" i="8"/>
  <c r="C19" i="8"/>
  <c r="G211" i="8"/>
  <c r="F213" i="8"/>
  <c r="G213" i="8"/>
  <c r="H213" i="8"/>
  <c r="I213" i="8"/>
  <c r="G215" i="8"/>
  <c r="H215" i="8"/>
  <c r="I215" i="8"/>
  <c r="G216" i="8"/>
  <c r="H216" i="8"/>
  <c r="I216" i="8"/>
  <c r="G217" i="8"/>
  <c r="H217" i="8"/>
  <c r="I217" i="8"/>
  <c r="G218" i="8"/>
  <c r="H218" i="8"/>
  <c r="I218" i="8"/>
  <c r="F15" i="8"/>
  <c r="D23" i="1"/>
  <c r="G23" i="1"/>
  <c r="D357" i="8"/>
  <c r="C371" i="8"/>
  <c r="F370" i="8"/>
  <c r="D359" i="8"/>
  <c r="D22" i="1"/>
  <c r="G22" i="1"/>
  <c r="D338" i="8"/>
  <c r="D340" i="8"/>
  <c r="D344" i="8"/>
  <c r="D345" i="8"/>
  <c r="D346" i="8"/>
  <c r="D347" i="8"/>
  <c r="D348" i="8"/>
  <c r="D349" i="8"/>
  <c r="D350" i="8"/>
  <c r="C351" i="8"/>
  <c r="C352" i="8"/>
  <c r="G351" i="8"/>
  <c r="F350" i="8"/>
  <c r="E350" i="8"/>
  <c r="F349" i="8"/>
  <c r="E349" i="8"/>
  <c r="F348" i="8"/>
  <c r="E348" i="8"/>
  <c r="F347" i="8"/>
  <c r="E347" i="8"/>
  <c r="F346" i="8"/>
  <c r="E346" i="8"/>
  <c r="F345" i="8"/>
  <c r="E345" i="8"/>
  <c r="F344" i="8"/>
  <c r="E344" i="8"/>
  <c r="D343" i="8"/>
  <c r="F343" i="8"/>
  <c r="E343" i="8"/>
  <c r="E342" i="8"/>
  <c r="D320" i="8"/>
  <c r="D322" i="8"/>
  <c r="D325" i="8"/>
  <c r="D326" i="8"/>
  <c r="D327" i="8"/>
  <c r="D328" i="8"/>
  <c r="D329" i="8"/>
  <c r="D330" i="8"/>
  <c r="D331" i="8"/>
  <c r="C332" i="8"/>
  <c r="C333" i="8"/>
  <c r="F332" i="8"/>
  <c r="E331" i="8"/>
  <c r="E330" i="8"/>
  <c r="E329" i="8"/>
  <c r="E328" i="8"/>
  <c r="E327" i="8"/>
  <c r="E326" i="8"/>
  <c r="E325" i="8"/>
  <c r="C314" i="8"/>
  <c r="C315" i="8"/>
  <c r="I314" i="8"/>
  <c r="E305" i="8"/>
  <c r="F305" i="8"/>
  <c r="G305" i="8"/>
  <c r="E303" i="8"/>
  <c r="E302" i="8"/>
  <c r="E301" i="8"/>
  <c r="C292" i="8"/>
  <c r="F288" i="8"/>
  <c r="F289" i="8"/>
  <c r="F291" i="8"/>
  <c r="F290" i="8"/>
  <c r="D285" i="8"/>
  <c r="D290" i="8"/>
  <c r="D289" i="8"/>
  <c r="D288" i="8"/>
  <c r="C278" i="8"/>
  <c r="F271" i="8"/>
  <c r="F272" i="8"/>
  <c r="F273" i="8"/>
  <c r="F274" i="8"/>
  <c r="F275" i="8"/>
  <c r="F277" i="8"/>
  <c r="F276" i="8"/>
  <c r="D268" i="8"/>
  <c r="D276" i="8"/>
  <c r="D275" i="8"/>
  <c r="D274" i="8"/>
  <c r="D273" i="8"/>
  <c r="D272" i="8"/>
  <c r="D271" i="8"/>
  <c r="C261" i="8"/>
  <c r="F253" i="8"/>
  <c r="F254" i="8"/>
  <c r="F255" i="8"/>
  <c r="F256" i="8"/>
  <c r="F257" i="8"/>
  <c r="F258" i="8"/>
  <c r="F260" i="8"/>
  <c r="D250" i="8"/>
  <c r="D259" i="8"/>
  <c r="D258" i="8"/>
  <c r="D257" i="8"/>
  <c r="D256" i="8"/>
  <c r="D255" i="8"/>
  <c r="D254" i="8"/>
  <c r="D253" i="8"/>
  <c r="D230" i="8"/>
  <c r="C243" i="8"/>
  <c r="F235" i="8"/>
  <c r="F236" i="8"/>
  <c r="F237" i="8"/>
  <c r="F238" i="8"/>
  <c r="F239" i="8"/>
  <c r="F240" i="8"/>
  <c r="F242" i="8"/>
  <c r="F241" i="8"/>
  <c r="D232" i="8"/>
  <c r="D241" i="8"/>
  <c r="D240" i="8"/>
  <c r="D239" i="8"/>
  <c r="D238" i="8"/>
  <c r="D237" i="8"/>
  <c r="D236" i="8"/>
  <c r="D235" i="8"/>
  <c r="C224" i="8"/>
  <c r="C225" i="8"/>
  <c r="D223" i="8"/>
  <c r="F219" i="8"/>
  <c r="E219" i="8"/>
  <c r="F218" i="8"/>
  <c r="E218" i="8"/>
  <c r="F217" i="8"/>
  <c r="E217" i="8"/>
  <c r="F216" i="8"/>
  <c r="E216" i="8"/>
  <c r="F215" i="8"/>
  <c r="E215" i="8"/>
  <c r="G214" i="8"/>
  <c r="H214" i="8"/>
  <c r="F214" i="8"/>
  <c r="E214" i="8"/>
  <c r="E213" i="8"/>
  <c r="E212" i="8"/>
  <c r="F211" i="8"/>
  <c r="E211" i="8"/>
  <c r="F210" i="8"/>
  <c r="E210" i="8"/>
  <c r="I209" i="8"/>
  <c r="G209" i="8"/>
  <c r="E209" i="8"/>
  <c r="E208" i="8"/>
  <c r="C199" i="8"/>
  <c r="F187" i="8"/>
  <c r="F188" i="8"/>
  <c r="F189" i="8"/>
  <c r="F190" i="8"/>
  <c r="F191" i="8"/>
  <c r="F192" i="8"/>
  <c r="F193" i="8"/>
  <c r="F194" i="8"/>
  <c r="F195" i="8"/>
  <c r="F197" i="8"/>
  <c r="F198" i="8"/>
  <c r="D197" i="8"/>
  <c r="D195" i="8"/>
  <c r="D194" i="8"/>
  <c r="D193" i="8"/>
  <c r="D192" i="8"/>
  <c r="D191" i="8"/>
  <c r="D190" i="8"/>
  <c r="D189" i="8"/>
  <c r="D188" i="8"/>
  <c r="D13" i="1"/>
  <c r="G13" i="1"/>
  <c r="D162" i="8"/>
  <c r="D164" i="8"/>
  <c r="D167" i="8"/>
  <c r="D168" i="8"/>
  <c r="D169" i="8"/>
  <c r="D170" i="8"/>
  <c r="D171" i="8"/>
  <c r="D172" i="8"/>
  <c r="D173" i="8"/>
  <c r="D174" i="8"/>
  <c r="D175" i="8"/>
  <c r="C176" i="8"/>
  <c r="C177" i="8"/>
  <c r="G176" i="8"/>
  <c r="F175" i="8"/>
  <c r="E175" i="8"/>
  <c r="F174" i="8"/>
  <c r="E174" i="8"/>
  <c r="F173" i="8"/>
  <c r="E173" i="8"/>
  <c r="F172" i="8"/>
  <c r="E172" i="8"/>
  <c r="F171" i="8"/>
  <c r="E171" i="8"/>
  <c r="F170" i="8"/>
  <c r="E170" i="8"/>
  <c r="F169" i="8"/>
  <c r="E169" i="8"/>
  <c r="F168" i="8"/>
  <c r="E168" i="8"/>
  <c r="F167" i="8"/>
  <c r="E167" i="8"/>
  <c r="E166" i="8"/>
  <c r="C156" i="8"/>
  <c r="C157" i="8"/>
  <c r="H155" i="8"/>
  <c r="G155" i="8"/>
  <c r="F155" i="8"/>
  <c r="H147" i="8"/>
  <c r="G147" i="8"/>
  <c r="F147" i="8"/>
  <c r="H146" i="8"/>
  <c r="G146" i="8"/>
  <c r="F146" i="8"/>
  <c r="G145" i="8"/>
  <c r="F145" i="8"/>
  <c r="H144" i="8"/>
  <c r="F144" i="8"/>
  <c r="H143" i="8"/>
  <c r="G143" i="8"/>
  <c r="E142" i="8"/>
  <c r="D11" i="1"/>
  <c r="G11" i="1"/>
  <c r="D119" i="8"/>
  <c r="C133" i="8"/>
  <c r="G132" i="8"/>
  <c r="D121" i="8"/>
  <c r="D131" i="8"/>
  <c r="E131" i="8"/>
  <c r="F131" i="8"/>
  <c r="D130" i="8"/>
  <c r="E130" i="8"/>
  <c r="F130" i="8"/>
  <c r="D129" i="8"/>
  <c r="E129" i="8"/>
  <c r="F129" i="8"/>
  <c r="D128" i="8"/>
  <c r="E128" i="8"/>
  <c r="F128" i="8"/>
  <c r="D127" i="8"/>
  <c r="E127" i="8"/>
  <c r="F127" i="8"/>
  <c r="D126" i="8"/>
  <c r="E126" i="8"/>
  <c r="F126" i="8"/>
  <c r="D125" i="8"/>
  <c r="E125" i="8"/>
  <c r="F125" i="8"/>
  <c r="D124" i="8"/>
  <c r="F124" i="8"/>
  <c r="E124" i="8"/>
  <c r="E123" i="8"/>
  <c r="D10" i="1"/>
  <c r="G10" i="1"/>
  <c r="D102" i="8"/>
  <c r="C114" i="8"/>
  <c r="F107" i="8"/>
  <c r="F108" i="8"/>
  <c r="F109" i="8"/>
  <c r="F110" i="8"/>
  <c r="F111" i="8"/>
  <c r="F112" i="8"/>
  <c r="F113" i="8"/>
  <c r="D104" i="8"/>
  <c r="D112" i="8"/>
  <c r="D111" i="8"/>
  <c r="D110" i="8"/>
  <c r="D109" i="8"/>
  <c r="D108" i="8"/>
  <c r="D107" i="8"/>
  <c r="C97" i="8"/>
  <c r="H96" i="8"/>
  <c r="F95" i="8"/>
  <c r="E95" i="8"/>
  <c r="F94" i="8"/>
  <c r="E94" i="8"/>
  <c r="F93" i="8"/>
  <c r="E93" i="8"/>
  <c r="F92" i="8"/>
  <c r="E92" i="8"/>
  <c r="E91" i="8"/>
  <c r="F90" i="8"/>
  <c r="E90" i="8"/>
  <c r="F89" i="8"/>
  <c r="E88" i="8"/>
  <c r="D8" i="1"/>
  <c r="G8" i="1"/>
  <c r="D66" i="8"/>
  <c r="C79" i="8"/>
  <c r="F71" i="8"/>
  <c r="F72" i="8"/>
  <c r="F73" i="8"/>
  <c r="F74" i="8"/>
  <c r="F75" i="8"/>
  <c r="F76" i="8"/>
  <c r="F77" i="8"/>
  <c r="F78" i="8"/>
  <c r="D68" i="8"/>
  <c r="D77" i="8"/>
  <c r="D76" i="8"/>
  <c r="D75" i="8"/>
  <c r="D74" i="8"/>
  <c r="D73" i="8"/>
  <c r="D72" i="8"/>
  <c r="D71" i="8"/>
  <c r="C61" i="8"/>
  <c r="H60" i="8"/>
  <c r="D59" i="8"/>
  <c r="E59" i="8"/>
  <c r="F59" i="8"/>
  <c r="G59" i="8"/>
  <c r="D58" i="8"/>
  <c r="E58" i="8"/>
  <c r="F58" i="8"/>
  <c r="G58" i="8"/>
  <c r="D57" i="8"/>
  <c r="E57" i="8"/>
  <c r="F57" i="8"/>
  <c r="G57" i="8"/>
  <c r="D56" i="8"/>
  <c r="E56" i="8"/>
  <c r="F56" i="8"/>
  <c r="G56" i="8"/>
  <c r="D55" i="8"/>
  <c r="E55" i="8"/>
  <c r="F55" i="8"/>
  <c r="G55" i="8"/>
  <c r="D54" i="8"/>
  <c r="E54" i="8"/>
  <c r="F54" i="8"/>
  <c r="G54" i="8"/>
  <c r="D53" i="8"/>
  <c r="E53" i="8"/>
  <c r="F53" i="8"/>
  <c r="G53" i="8"/>
  <c r="D52" i="8"/>
  <c r="E52" i="8"/>
  <c r="F52" i="8"/>
  <c r="G52" i="8"/>
  <c r="D51" i="8"/>
  <c r="E51" i="8"/>
  <c r="F51" i="8"/>
  <c r="G51" i="8"/>
  <c r="D50" i="8"/>
  <c r="E50" i="8"/>
  <c r="F50" i="8"/>
  <c r="G50" i="8"/>
  <c r="D49" i="8"/>
  <c r="E49" i="8"/>
  <c r="F49" i="8"/>
  <c r="G49" i="8"/>
  <c r="G48" i="8"/>
  <c r="E48" i="8"/>
  <c r="F48" i="8"/>
  <c r="F47" i="8"/>
  <c r="G47" i="8"/>
  <c r="E46" i="8"/>
  <c r="C37" i="8"/>
  <c r="G36" i="8"/>
  <c r="D35" i="8"/>
  <c r="E35" i="8"/>
  <c r="F35" i="8"/>
  <c r="D34" i="8"/>
  <c r="E34" i="8"/>
  <c r="F34" i="8"/>
  <c r="D33" i="8"/>
  <c r="E33" i="8"/>
  <c r="F33" i="8"/>
  <c r="D32" i="8"/>
  <c r="E32" i="8"/>
  <c r="F32" i="8"/>
  <c r="D31" i="8"/>
  <c r="E31" i="8"/>
  <c r="F31" i="8"/>
  <c r="F29" i="8"/>
  <c r="E28" i="8"/>
  <c r="F17" i="8"/>
  <c r="F14" i="8"/>
  <c r="E11" i="8"/>
  <c r="L171" i="2"/>
  <c r="M161" i="2"/>
  <c r="M162" i="2"/>
  <c r="M163" i="2"/>
  <c r="M164" i="2"/>
  <c r="M165" i="2"/>
  <c r="M166" i="2"/>
  <c r="M167" i="2"/>
  <c r="M168" i="2"/>
  <c r="M169" i="2"/>
  <c r="M170" i="2"/>
  <c r="M171" i="2"/>
  <c r="M160" i="2"/>
  <c r="D191" i="4"/>
  <c r="D194" i="4"/>
  <c r="E194" i="4"/>
  <c r="D197" i="4"/>
  <c r="E197" i="4"/>
  <c r="D198" i="4"/>
  <c r="D199" i="4"/>
  <c r="D200" i="4"/>
  <c r="D201" i="4"/>
  <c r="D202" i="4"/>
  <c r="D203" i="4"/>
  <c r="D204" i="4"/>
  <c r="D195" i="4"/>
  <c r="D196" i="4"/>
  <c r="K212" i="3"/>
  <c r="D195" i="3"/>
  <c r="D197" i="3"/>
  <c r="D204" i="3"/>
  <c r="F204" i="3"/>
  <c r="G204" i="3"/>
  <c r="D203" i="3"/>
  <c r="G203" i="3"/>
  <c r="H203" i="3"/>
  <c r="I203" i="3"/>
  <c r="J203" i="3"/>
  <c r="D205" i="3"/>
  <c r="I205" i="3"/>
  <c r="D200" i="3"/>
  <c r="H200" i="3"/>
  <c r="D201" i="3"/>
  <c r="G201" i="3"/>
  <c r="F203" i="3"/>
  <c r="E203" i="3"/>
  <c r="E200" i="3"/>
  <c r="J200" i="3"/>
  <c r="H201" i="3"/>
  <c r="I201" i="3"/>
  <c r="J201" i="3"/>
  <c r="D202" i="3"/>
  <c r="G202" i="3"/>
  <c r="H202" i="3"/>
  <c r="I202" i="3"/>
  <c r="J202" i="3"/>
  <c r="H204" i="3"/>
  <c r="I204" i="3"/>
  <c r="J204" i="3"/>
  <c r="D206" i="3"/>
  <c r="G206" i="3"/>
  <c r="H206" i="3"/>
  <c r="I206" i="3"/>
  <c r="J206" i="3"/>
  <c r="D207" i="3"/>
  <c r="G207" i="3"/>
  <c r="H207" i="3"/>
  <c r="I207" i="3"/>
  <c r="J207" i="3"/>
  <c r="D208" i="3"/>
  <c r="G208" i="3"/>
  <c r="H208" i="3"/>
  <c r="I208" i="3"/>
  <c r="J208" i="3"/>
  <c r="D209" i="3"/>
  <c r="G209" i="3"/>
  <c r="H209" i="3"/>
  <c r="I209" i="3"/>
  <c r="J209" i="3"/>
  <c r="D210" i="3"/>
  <c r="G210" i="3"/>
  <c r="H210" i="3"/>
  <c r="I210" i="3"/>
  <c r="J210" i="3"/>
  <c r="C212" i="3"/>
  <c r="C171" i="2"/>
  <c r="D159" i="2"/>
  <c r="D160" i="2"/>
  <c r="D161" i="2"/>
  <c r="D162" i="2"/>
  <c r="D163" i="2"/>
  <c r="D164" i="2"/>
  <c r="D165" i="2"/>
  <c r="D166" i="2"/>
  <c r="D167" i="2"/>
  <c r="D168" i="2"/>
  <c r="D169" i="2"/>
  <c r="D170" i="2"/>
  <c r="D171" i="2"/>
  <c r="L150" i="2"/>
  <c r="M144" i="2"/>
  <c r="M145" i="2"/>
  <c r="M146" i="2"/>
  <c r="M147" i="2"/>
  <c r="M148" i="2"/>
  <c r="M149" i="2"/>
  <c r="M150" i="2"/>
  <c r="M143" i="2"/>
  <c r="L120" i="2"/>
  <c r="M114" i="2"/>
  <c r="M115" i="2"/>
  <c r="M116" i="2"/>
  <c r="M117" i="2"/>
  <c r="M118" i="2"/>
  <c r="M119" i="2"/>
  <c r="M120" i="2"/>
  <c r="M113" i="2"/>
  <c r="L72" i="2"/>
  <c r="L78" i="2"/>
  <c r="M72" i="2"/>
  <c r="M73" i="2"/>
  <c r="M74" i="2"/>
  <c r="M75" i="2"/>
  <c r="M76" i="2"/>
  <c r="M77" i="2"/>
  <c r="M78" i="2"/>
  <c r="M71" i="2"/>
  <c r="L46" i="2"/>
  <c r="M38" i="2"/>
  <c r="M39" i="2"/>
  <c r="M40" i="2"/>
  <c r="M41" i="2"/>
  <c r="M42" i="2"/>
  <c r="M43" i="2"/>
  <c r="M44" i="2"/>
  <c r="M45" i="2"/>
  <c r="M46" i="2"/>
  <c r="M37" i="2"/>
  <c r="L29" i="2"/>
  <c r="M24" i="2"/>
  <c r="M25" i="2"/>
  <c r="M26" i="2"/>
  <c r="M27" i="2"/>
  <c r="M28" i="2"/>
  <c r="M29" i="2"/>
  <c r="M23" i="2"/>
  <c r="L11" i="2"/>
  <c r="L17" i="2"/>
  <c r="M11" i="2"/>
  <c r="M12" i="2"/>
  <c r="M13" i="2"/>
  <c r="M14" i="2"/>
  <c r="M15" i="2"/>
  <c r="M16" i="2"/>
  <c r="M17" i="2"/>
  <c r="C285" i="2"/>
  <c r="C270" i="2"/>
  <c r="C255" i="2"/>
  <c r="L242" i="2"/>
  <c r="C241" i="2"/>
  <c r="M242" i="2"/>
  <c r="M241" i="2"/>
  <c r="M240" i="2"/>
  <c r="M239" i="2"/>
  <c r="M238" i="2"/>
  <c r="M237" i="2"/>
  <c r="M236" i="2"/>
  <c r="M235" i="2"/>
  <c r="M234" i="2"/>
  <c r="M233" i="2"/>
  <c r="M232" i="2"/>
  <c r="M231" i="2"/>
  <c r="M230" i="2"/>
  <c r="C222" i="2"/>
  <c r="C212" i="2"/>
  <c r="C199" i="2"/>
  <c r="C135" i="2"/>
  <c r="C119" i="2"/>
  <c r="C105" i="2"/>
  <c r="C90" i="2"/>
  <c r="C77" i="2"/>
  <c r="C63" i="2"/>
  <c r="C49" i="2"/>
  <c r="C29" i="2"/>
  <c r="C15" i="2"/>
  <c r="G351" i="4"/>
  <c r="D338" i="4"/>
  <c r="D340" i="4"/>
  <c r="D343" i="4"/>
  <c r="D344" i="4"/>
  <c r="D345" i="4"/>
  <c r="D346" i="4"/>
  <c r="D347" i="4"/>
  <c r="D348" i="4"/>
  <c r="D349" i="4"/>
  <c r="D350" i="4"/>
  <c r="C351" i="4"/>
  <c r="C352" i="4"/>
  <c r="E344" i="4"/>
  <c r="E345" i="4"/>
  <c r="E346" i="4"/>
  <c r="E347" i="4"/>
  <c r="E348" i="4"/>
  <c r="E349" i="4"/>
  <c r="E350" i="4"/>
  <c r="E343" i="4"/>
  <c r="D321" i="4"/>
  <c r="D324" i="4"/>
  <c r="D325" i="4"/>
  <c r="D326" i="4"/>
  <c r="D327" i="4"/>
  <c r="D328" i="4"/>
  <c r="D329" i="4"/>
  <c r="D330" i="4"/>
  <c r="D331" i="4"/>
  <c r="C332" i="4"/>
  <c r="C333" i="4"/>
  <c r="E325" i="4"/>
  <c r="E326" i="4"/>
  <c r="E327" i="4"/>
  <c r="E328" i="4"/>
  <c r="E329" i="4"/>
  <c r="E330" i="4"/>
  <c r="E331" i="4"/>
  <c r="E324" i="4"/>
  <c r="D303" i="4"/>
  <c r="D306" i="4"/>
  <c r="D307" i="4"/>
  <c r="D308" i="4"/>
  <c r="D309" i="4"/>
  <c r="D310" i="4"/>
  <c r="D311" i="4"/>
  <c r="D312" i="4"/>
  <c r="C313" i="4"/>
  <c r="C314" i="4"/>
  <c r="E307" i="4"/>
  <c r="E308" i="4"/>
  <c r="E309" i="4"/>
  <c r="E310" i="4"/>
  <c r="E311" i="4"/>
  <c r="E312" i="4"/>
  <c r="E306" i="4"/>
  <c r="D280" i="4"/>
  <c r="D283" i="4"/>
  <c r="D284" i="4"/>
  <c r="D285" i="4"/>
  <c r="D286" i="4"/>
  <c r="D287" i="4"/>
  <c r="D288" i="4"/>
  <c r="D289" i="4"/>
  <c r="D290" i="4"/>
  <c r="D291" i="4"/>
  <c r="D292" i="4"/>
  <c r="D293" i="4"/>
  <c r="D294" i="4"/>
  <c r="C295" i="4"/>
  <c r="C296" i="4"/>
  <c r="D266" i="4"/>
  <c r="D269" i="4"/>
  <c r="D270" i="4"/>
  <c r="D271" i="4"/>
  <c r="C272" i="4"/>
  <c r="C273" i="4"/>
  <c r="G224" i="4"/>
  <c r="G242" i="4"/>
  <c r="G259" i="4"/>
  <c r="G272" i="4"/>
  <c r="E284" i="4"/>
  <c r="E285" i="4"/>
  <c r="E286" i="4"/>
  <c r="E287" i="4"/>
  <c r="E288" i="4"/>
  <c r="E289" i="4"/>
  <c r="E290" i="4"/>
  <c r="E291" i="4"/>
  <c r="E292" i="4"/>
  <c r="E293" i="4"/>
  <c r="E294" i="4"/>
  <c r="E283" i="4"/>
  <c r="E270" i="4"/>
  <c r="E271" i="4"/>
  <c r="E269" i="4"/>
  <c r="D250" i="4"/>
  <c r="D253" i="4"/>
  <c r="D254" i="4"/>
  <c r="D255" i="4"/>
  <c r="D256" i="4"/>
  <c r="D257" i="4"/>
  <c r="D258" i="4"/>
  <c r="C259" i="4"/>
  <c r="C260" i="4"/>
  <c r="E254" i="4"/>
  <c r="E255" i="4"/>
  <c r="E256" i="4"/>
  <c r="E257" i="4"/>
  <c r="E258" i="4"/>
  <c r="E253" i="4"/>
  <c r="D232" i="4"/>
  <c r="D235" i="4"/>
  <c r="D236" i="4"/>
  <c r="D237" i="4"/>
  <c r="D238" i="4"/>
  <c r="D239" i="4"/>
  <c r="D240" i="4"/>
  <c r="D241" i="4"/>
  <c r="C242" i="4"/>
  <c r="C243" i="4"/>
  <c r="E236" i="4"/>
  <c r="E237" i="4"/>
  <c r="E238" i="4"/>
  <c r="E239" i="4"/>
  <c r="E240" i="4"/>
  <c r="E241" i="4"/>
  <c r="E235" i="4"/>
  <c r="D214" i="4"/>
  <c r="D217" i="4"/>
  <c r="D218" i="4"/>
  <c r="D219" i="4"/>
  <c r="D220" i="4"/>
  <c r="D221" i="4"/>
  <c r="D222" i="4"/>
  <c r="D223" i="4"/>
  <c r="C224" i="4"/>
  <c r="C225" i="4"/>
  <c r="G206" i="4"/>
  <c r="C206" i="4"/>
  <c r="D150" i="4"/>
  <c r="D153" i="4"/>
  <c r="D154" i="4"/>
  <c r="D155" i="4"/>
  <c r="D156" i="4"/>
  <c r="D157" i="4"/>
  <c r="D158" i="4"/>
  <c r="D159" i="4"/>
  <c r="D160" i="4"/>
  <c r="D161" i="4"/>
  <c r="C162" i="4"/>
  <c r="C207" i="4"/>
  <c r="E195" i="4"/>
  <c r="E196" i="4"/>
  <c r="E198" i="4"/>
  <c r="E199" i="4"/>
  <c r="E200" i="4"/>
  <c r="E201" i="4"/>
  <c r="E202" i="4"/>
  <c r="E203" i="4"/>
  <c r="E204" i="4"/>
  <c r="D205" i="4"/>
  <c r="E205" i="4"/>
  <c r="D170" i="4"/>
  <c r="D173" i="4"/>
  <c r="D174" i="4"/>
  <c r="D175" i="4"/>
  <c r="D176" i="4"/>
  <c r="D177" i="4"/>
  <c r="D178" i="4"/>
  <c r="D179" i="4"/>
  <c r="D180" i="4"/>
  <c r="D181" i="4"/>
  <c r="D182" i="4"/>
  <c r="C183" i="4"/>
  <c r="C184" i="4"/>
  <c r="G174" i="4"/>
  <c r="G175" i="4"/>
  <c r="G176" i="4"/>
  <c r="G177" i="4"/>
  <c r="G178" i="4"/>
  <c r="G179" i="4"/>
  <c r="G180" i="4"/>
  <c r="G181" i="4"/>
  <c r="G182" i="4"/>
  <c r="G183" i="4"/>
  <c r="E174" i="4"/>
  <c r="E175" i="4"/>
  <c r="E176" i="4"/>
  <c r="E177" i="4"/>
  <c r="E178" i="4"/>
  <c r="E179" i="4"/>
  <c r="E180" i="4"/>
  <c r="E181" i="4"/>
  <c r="E182" i="4"/>
  <c r="E173" i="4"/>
  <c r="D61" i="4"/>
  <c r="D64" i="4"/>
  <c r="D65" i="4"/>
  <c r="D66" i="4"/>
  <c r="D67" i="4"/>
  <c r="D68" i="4"/>
  <c r="D69" i="4"/>
  <c r="D70" i="4"/>
  <c r="C71" i="4"/>
  <c r="C72" i="4"/>
  <c r="G64" i="4"/>
  <c r="C163" i="4"/>
  <c r="E154" i="4"/>
  <c r="E155" i="4"/>
  <c r="E156" i="4"/>
  <c r="E157" i="4"/>
  <c r="E158" i="4"/>
  <c r="E159" i="4"/>
  <c r="E160" i="4"/>
  <c r="E161" i="4"/>
  <c r="E153" i="4"/>
  <c r="D132" i="4"/>
  <c r="D135" i="4"/>
  <c r="D136" i="4"/>
  <c r="D137" i="4"/>
  <c r="D138" i="4"/>
  <c r="D139" i="4"/>
  <c r="D140" i="4"/>
  <c r="D141" i="4"/>
  <c r="C142" i="4"/>
  <c r="C143" i="4"/>
  <c r="E135" i="4"/>
  <c r="E136" i="4"/>
  <c r="E137" i="4"/>
  <c r="E138" i="4"/>
  <c r="E139" i="4"/>
  <c r="E140" i="4"/>
  <c r="E141" i="4"/>
  <c r="G124" i="4"/>
  <c r="D113" i="4"/>
  <c r="D118" i="4"/>
  <c r="D119" i="4"/>
  <c r="D120" i="4"/>
  <c r="D121" i="4"/>
  <c r="D122" i="4"/>
  <c r="D123" i="4"/>
  <c r="C124" i="4"/>
  <c r="C125" i="4"/>
  <c r="D117" i="4"/>
  <c r="E117" i="4"/>
  <c r="E118" i="4"/>
  <c r="E119" i="4"/>
  <c r="E120" i="4"/>
  <c r="E121" i="4"/>
  <c r="E122" i="4"/>
  <c r="E123" i="4"/>
  <c r="D116" i="4"/>
  <c r="E116" i="4"/>
  <c r="D96" i="4"/>
  <c r="D104" i="4"/>
  <c r="E104" i="4"/>
  <c r="G104" i="4"/>
  <c r="D103" i="4"/>
  <c r="E103" i="4"/>
  <c r="G103" i="4"/>
  <c r="D102" i="4"/>
  <c r="E102" i="4"/>
  <c r="G102" i="4"/>
  <c r="D101" i="4"/>
  <c r="E101" i="4"/>
  <c r="G101" i="4"/>
  <c r="D100" i="4"/>
  <c r="E100" i="4"/>
  <c r="G100" i="4"/>
  <c r="D99" i="4"/>
  <c r="E99" i="4"/>
  <c r="C105" i="4"/>
  <c r="C106" i="4"/>
  <c r="G105" i="4"/>
  <c r="D78" i="4"/>
  <c r="D87" i="4"/>
  <c r="G87" i="4"/>
  <c r="D86" i="4"/>
  <c r="G86" i="4"/>
  <c r="D85" i="4"/>
  <c r="G85" i="4"/>
  <c r="D84" i="4"/>
  <c r="G84" i="4"/>
  <c r="D83" i="4"/>
  <c r="G83" i="4"/>
  <c r="D82" i="4"/>
  <c r="G82" i="4"/>
  <c r="D81" i="4"/>
  <c r="G81" i="4"/>
  <c r="C88" i="4"/>
  <c r="C89" i="4"/>
  <c r="E82" i="4"/>
  <c r="E83" i="4"/>
  <c r="E84" i="4"/>
  <c r="E85" i="4"/>
  <c r="E86" i="4"/>
  <c r="E87" i="4"/>
  <c r="E81" i="4"/>
  <c r="D38" i="4"/>
  <c r="D42" i="4"/>
  <c r="D43" i="4"/>
  <c r="D44" i="4"/>
  <c r="D45" i="4"/>
  <c r="D46" i="4"/>
  <c r="D47" i="4"/>
  <c r="D48" i="4"/>
  <c r="D49" i="4"/>
  <c r="D50" i="4"/>
  <c r="D51" i="4"/>
  <c r="D52" i="4"/>
  <c r="D53" i="4"/>
  <c r="D41" i="4"/>
  <c r="E64" i="4"/>
  <c r="E65" i="4"/>
  <c r="E66" i="4"/>
  <c r="E67" i="4"/>
  <c r="E68" i="4"/>
  <c r="E69" i="4"/>
  <c r="E70" i="4"/>
  <c r="G71" i="4"/>
  <c r="D21" i="4"/>
  <c r="D25" i="4"/>
  <c r="E25" i="4"/>
  <c r="D26" i="4"/>
  <c r="E26" i="4"/>
  <c r="D27" i="4"/>
  <c r="E27" i="4"/>
  <c r="D28" i="4"/>
  <c r="E28" i="4"/>
  <c r="D29" i="4"/>
  <c r="E29" i="4"/>
  <c r="D30" i="4"/>
  <c r="E30" i="4"/>
  <c r="D24" i="4"/>
  <c r="E24" i="4"/>
  <c r="E42" i="4"/>
  <c r="E43" i="4"/>
  <c r="E44" i="4"/>
  <c r="E45" i="4"/>
  <c r="E46" i="4"/>
  <c r="E47" i="4"/>
  <c r="E48" i="4"/>
  <c r="E49" i="4"/>
  <c r="E50" i="4"/>
  <c r="E51" i="4"/>
  <c r="E52" i="4"/>
  <c r="E53" i="4"/>
  <c r="E41" i="4"/>
  <c r="G41" i="4"/>
  <c r="G42" i="4"/>
  <c r="G43" i="4"/>
  <c r="G44" i="4"/>
  <c r="G45" i="4"/>
  <c r="G46" i="4"/>
  <c r="G47" i="4"/>
  <c r="G54" i="4"/>
  <c r="C54" i="4"/>
  <c r="C55" i="4"/>
  <c r="C31" i="4"/>
  <c r="C32" i="4"/>
  <c r="G24" i="4"/>
  <c r="G25" i="4"/>
  <c r="G26" i="4"/>
  <c r="G27" i="4"/>
  <c r="G28" i="4"/>
  <c r="G29" i="4"/>
  <c r="G30" i="4"/>
  <c r="G31" i="4"/>
  <c r="D22" i="3"/>
  <c r="D24" i="3"/>
  <c r="D27" i="3"/>
  <c r="E27" i="3"/>
  <c r="D7" i="4"/>
  <c r="D10" i="4"/>
  <c r="D11" i="4"/>
  <c r="D12" i="4"/>
  <c r="D13" i="4"/>
  <c r="C14" i="4"/>
  <c r="C15" i="4"/>
  <c r="G10" i="4"/>
  <c r="G11" i="4"/>
  <c r="G12" i="4"/>
  <c r="G13" i="4"/>
  <c r="G14" i="4"/>
  <c r="E12" i="4"/>
  <c r="E13" i="4"/>
  <c r="E11" i="4"/>
  <c r="E10" i="4"/>
  <c r="D117" i="3"/>
  <c r="C131" i="3"/>
  <c r="E121" i="3"/>
  <c r="D119" i="3"/>
  <c r="D124" i="3"/>
  <c r="E124" i="3"/>
  <c r="F124" i="3"/>
  <c r="D125" i="3"/>
  <c r="E125" i="3"/>
  <c r="F125" i="3"/>
  <c r="D126" i="3"/>
  <c r="E126" i="3"/>
  <c r="F126" i="3"/>
  <c r="D127" i="3"/>
  <c r="E127" i="3"/>
  <c r="F127" i="3"/>
  <c r="D128" i="3"/>
  <c r="E128" i="3"/>
  <c r="F128" i="3"/>
  <c r="D129" i="3"/>
  <c r="E129" i="3"/>
  <c r="F129" i="3"/>
  <c r="D123" i="3"/>
  <c r="E123" i="3"/>
  <c r="F123" i="3"/>
  <c r="D122" i="3"/>
  <c r="F122" i="3"/>
  <c r="E122" i="3"/>
  <c r="E44" i="3"/>
  <c r="D40" i="3"/>
  <c r="D42" i="3"/>
  <c r="D48" i="3"/>
  <c r="E48" i="3"/>
  <c r="F48" i="3"/>
  <c r="G48" i="3"/>
  <c r="D49" i="3"/>
  <c r="E49" i="3"/>
  <c r="F49" i="3"/>
  <c r="G49" i="3"/>
  <c r="D50" i="3"/>
  <c r="E50" i="3"/>
  <c r="F50" i="3"/>
  <c r="G50" i="3"/>
  <c r="D51" i="3"/>
  <c r="E51" i="3"/>
  <c r="F51" i="3"/>
  <c r="G51" i="3"/>
  <c r="D52" i="3"/>
  <c r="E52" i="3"/>
  <c r="F52" i="3"/>
  <c r="G52" i="3"/>
  <c r="D53" i="3"/>
  <c r="E53" i="3"/>
  <c r="F53" i="3"/>
  <c r="G53" i="3"/>
  <c r="D54" i="3"/>
  <c r="E54" i="3"/>
  <c r="F54" i="3"/>
  <c r="G54" i="3"/>
  <c r="D55" i="3"/>
  <c r="E55" i="3"/>
  <c r="F55" i="3"/>
  <c r="G55" i="3"/>
  <c r="D56" i="3"/>
  <c r="E56" i="3"/>
  <c r="F56" i="3"/>
  <c r="G56" i="3"/>
  <c r="D57" i="3"/>
  <c r="E57" i="3"/>
  <c r="F57" i="3"/>
  <c r="G57" i="3"/>
  <c r="D47" i="3"/>
  <c r="E47" i="3"/>
  <c r="F47" i="3"/>
  <c r="G47" i="3"/>
  <c r="D46" i="3"/>
  <c r="G46" i="3"/>
  <c r="D45" i="3"/>
  <c r="F45" i="3"/>
  <c r="G45" i="3"/>
  <c r="E46" i="3"/>
  <c r="F46" i="3"/>
  <c r="E45" i="3"/>
  <c r="D30" i="3"/>
  <c r="E30" i="3"/>
  <c r="F30" i="3"/>
  <c r="G30" i="3"/>
  <c r="D31" i="3"/>
  <c r="E31" i="3"/>
  <c r="F31" i="3"/>
  <c r="G31" i="3"/>
  <c r="D32" i="3"/>
  <c r="E32" i="3"/>
  <c r="F32" i="3"/>
  <c r="G32" i="3"/>
  <c r="D33" i="3"/>
  <c r="E33" i="3"/>
  <c r="F33" i="3"/>
  <c r="G33" i="3"/>
  <c r="D29" i="3"/>
  <c r="E29" i="3"/>
  <c r="F29" i="3"/>
  <c r="G29" i="3"/>
  <c r="D28" i="3"/>
  <c r="G28" i="3"/>
  <c r="F27" i="3"/>
  <c r="G27" i="3"/>
  <c r="E28" i="3"/>
  <c r="F28" i="3"/>
  <c r="C35" i="3"/>
  <c r="E26" i="3"/>
  <c r="F358" i="3"/>
  <c r="D345" i="3"/>
  <c r="C359" i="3"/>
  <c r="D347" i="3"/>
  <c r="D326" i="3"/>
  <c r="D328" i="3"/>
  <c r="D332" i="3"/>
  <c r="D333" i="3"/>
  <c r="D334" i="3"/>
  <c r="D335" i="3"/>
  <c r="D336" i="3"/>
  <c r="D337" i="3"/>
  <c r="D338" i="3"/>
  <c r="C339" i="3"/>
  <c r="C340" i="3"/>
  <c r="E330" i="3"/>
  <c r="G339" i="3"/>
  <c r="F338" i="3"/>
  <c r="E338" i="3"/>
  <c r="F333" i="3"/>
  <c r="F332" i="3"/>
  <c r="D331" i="3"/>
  <c r="F331" i="3"/>
  <c r="F337" i="3"/>
  <c r="E337" i="3"/>
  <c r="F336" i="3"/>
  <c r="E336" i="3"/>
  <c r="F335" i="3"/>
  <c r="E335" i="3"/>
  <c r="F334" i="3"/>
  <c r="E334" i="3"/>
  <c r="E333" i="3"/>
  <c r="E332" i="3"/>
  <c r="E331" i="3"/>
  <c r="D308" i="3"/>
  <c r="D310" i="3"/>
  <c r="D313" i="3"/>
  <c r="D314" i="3"/>
  <c r="D315" i="3"/>
  <c r="D316" i="3"/>
  <c r="D317" i="3"/>
  <c r="D318" i="3"/>
  <c r="D319" i="3"/>
  <c r="C320" i="3"/>
  <c r="C321" i="3"/>
  <c r="E314" i="3"/>
  <c r="E315" i="3"/>
  <c r="E316" i="3"/>
  <c r="E317" i="3"/>
  <c r="E318" i="3"/>
  <c r="E319" i="3"/>
  <c r="E313" i="3"/>
  <c r="D287" i="3"/>
  <c r="D290" i="3"/>
  <c r="D291" i="3"/>
  <c r="D292" i="3"/>
  <c r="D293" i="3"/>
  <c r="D294" i="3"/>
  <c r="D295" i="3"/>
  <c r="D296" i="3"/>
  <c r="D297" i="3"/>
  <c r="D298" i="3"/>
  <c r="D299" i="3"/>
  <c r="D300" i="3"/>
  <c r="D301" i="3"/>
  <c r="C302" i="3"/>
  <c r="C303" i="3"/>
  <c r="E289" i="3"/>
  <c r="G291" i="3"/>
  <c r="E291" i="3"/>
  <c r="F291" i="3"/>
  <c r="F290" i="3"/>
  <c r="E292" i="3"/>
  <c r="E293" i="3"/>
  <c r="E294" i="3"/>
  <c r="E295" i="3"/>
  <c r="E296" i="3"/>
  <c r="E297" i="3"/>
  <c r="E298" i="3"/>
  <c r="E299" i="3"/>
  <c r="E300" i="3"/>
  <c r="E301" i="3"/>
  <c r="E290" i="3"/>
  <c r="C280" i="3"/>
  <c r="F276" i="3"/>
  <c r="F277" i="3"/>
  <c r="F279" i="3"/>
  <c r="D273" i="3"/>
  <c r="D277" i="3"/>
  <c r="D278" i="3"/>
  <c r="D276" i="3"/>
  <c r="F278" i="3"/>
  <c r="C266" i="3"/>
  <c r="F259" i="3"/>
  <c r="F260" i="3"/>
  <c r="F261" i="3"/>
  <c r="F262" i="3"/>
  <c r="F263" i="3"/>
  <c r="F265" i="3"/>
  <c r="D256" i="3"/>
  <c r="D260" i="3"/>
  <c r="D261" i="3"/>
  <c r="D262" i="3"/>
  <c r="D263" i="3"/>
  <c r="D264" i="3"/>
  <c r="D259" i="3"/>
  <c r="F264" i="3"/>
  <c r="F241" i="3"/>
  <c r="F242" i="3"/>
  <c r="F243" i="3"/>
  <c r="F244" i="3"/>
  <c r="F245" i="3"/>
  <c r="F246" i="3"/>
  <c r="F248" i="3"/>
  <c r="C249" i="3"/>
  <c r="D238" i="3"/>
  <c r="D242" i="3"/>
  <c r="D243" i="3"/>
  <c r="D244" i="3"/>
  <c r="D245" i="3"/>
  <c r="D246" i="3"/>
  <c r="D247" i="3"/>
  <c r="D241" i="3"/>
  <c r="D218" i="3"/>
  <c r="C231" i="3"/>
  <c r="F229" i="3"/>
  <c r="F223" i="3"/>
  <c r="F224" i="3"/>
  <c r="F225" i="3"/>
  <c r="F226" i="3"/>
  <c r="F227" i="3"/>
  <c r="F228" i="3"/>
  <c r="F230" i="3"/>
  <c r="D220" i="3"/>
  <c r="D229" i="3"/>
  <c r="D224" i="3"/>
  <c r="D225" i="3"/>
  <c r="D226" i="3"/>
  <c r="D227" i="3"/>
  <c r="D228" i="3"/>
  <c r="D223" i="3"/>
  <c r="D174" i="3"/>
  <c r="D100" i="3"/>
  <c r="C213" i="3"/>
  <c r="E199" i="3"/>
  <c r="I200" i="3"/>
  <c r="G205" i="3"/>
  <c r="G200" i="3"/>
  <c r="F205" i="3"/>
  <c r="F206" i="3"/>
  <c r="F207" i="3"/>
  <c r="F208" i="3"/>
  <c r="F209" i="3"/>
  <c r="F210" i="3"/>
  <c r="F202" i="3"/>
  <c r="F201" i="3"/>
  <c r="F200" i="3"/>
  <c r="E202" i="3"/>
  <c r="E204" i="3"/>
  <c r="E205" i="3"/>
  <c r="E206" i="3"/>
  <c r="E207" i="3"/>
  <c r="E208" i="3"/>
  <c r="E209" i="3"/>
  <c r="E210" i="3"/>
  <c r="E201" i="3"/>
  <c r="D211" i="3"/>
  <c r="F179" i="3"/>
  <c r="F180" i="3"/>
  <c r="F181" i="3"/>
  <c r="F182" i="3"/>
  <c r="F183" i="3"/>
  <c r="F184" i="3"/>
  <c r="F185" i="3"/>
  <c r="F186" i="3"/>
  <c r="F187" i="3"/>
  <c r="F188" i="3"/>
  <c r="F189" i="3"/>
  <c r="C190" i="3"/>
  <c r="D154" i="3"/>
  <c r="D156" i="3"/>
  <c r="D159" i="3"/>
  <c r="D160" i="3"/>
  <c r="D161" i="3"/>
  <c r="D162" i="3"/>
  <c r="D163" i="3"/>
  <c r="D164" i="3"/>
  <c r="D165" i="3"/>
  <c r="D166" i="3"/>
  <c r="D167" i="3"/>
  <c r="C168" i="3"/>
  <c r="C169" i="3"/>
  <c r="G168" i="3"/>
  <c r="E158" i="3"/>
  <c r="F162" i="3"/>
  <c r="F163" i="3"/>
  <c r="F164" i="3"/>
  <c r="F165" i="3"/>
  <c r="F166" i="3"/>
  <c r="F167" i="3"/>
  <c r="F161" i="3"/>
  <c r="F160" i="3"/>
  <c r="F159" i="3"/>
  <c r="E160" i="3"/>
  <c r="E161" i="3"/>
  <c r="E162" i="3"/>
  <c r="E163" i="3"/>
  <c r="E164" i="3"/>
  <c r="E165" i="3"/>
  <c r="E166" i="3"/>
  <c r="E167" i="3"/>
  <c r="E159" i="3"/>
  <c r="D136" i="3"/>
  <c r="J148" i="3"/>
  <c r="D138" i="3"/>
  <c r="D141" i="3"/>
  <c r="E141" i="3"/>
  <c r="D142" i="3"/>
  <c r="D143" i="3"/>
  <c r="D144" i="3"/>
  <c r="D145" i="3"/>
  <c r="D146" i="3"/>
  <c r="D147" i="3"/>
  <c r="C148" i="3"/>
  <c r="C149" i="3"/>
  <c r="E140" i="3"/>
  <c r="I147" i="3"/>
  <c r="I146" i="3"/>
  <c r="I145" i="3"/>
  <c r="I144" i="3"/>
  <c r="I143" i="3"/>
  <c r="I142" i="3"/>
  <c r="I141" i="3"/>
  <c r="H146" i="3"/>
  <c r="H147" i="3"/>
  <c r="H145" i="3"/>
  <c r="H144" i="3"/>
  <c r="H143" i="3"/>
  <c r="H142" i="3"/>
  <c r="H141" i="3"/>
  <c r="G144" i="3"/>
  <c r="G145" i="3"/>
  <c r="G146" i="3"/>
  <c r="G147" i="3"/>
  <c r="G143" i="3"/>
  <c r="G142" i="3"/>
  <c r="G141" i="3"/>
  <c r="F147" i="3"/>
  <c r="F146" i="3"/>
  <c r="F145" i="3"/>
  <c r="F144" i="3"/>
  <c r="F143" i="3"/>
  <c r="F142" i="3"/>
  <c r="F141" i="3"/>
  <c r="E142" i="3"/>
  <c r="E143" i="3"/>
  <c r="E144" i="3"/>
  <c r="E145" i="3"/>
  <c r="E146" i="3"/>
  <c r="E147" i="3"/>
  <c r="F69" i="3"/>
  <c r="F70" i="3"/>
  <c r="F71" i="3"/>
  <c r="F72" i="3"/>
  <c r="F73" i="3"/>
  <c r="F74" i="3"/>
  <c r="F75" i="3"/>
  <c r="F76" i="3"/>
  <c r="G94" i="3"/>
  <c r="F105" i="3"/>
  <c r="F106" i="3"/>
  <c r="F107" i="3"/>
  <c r="F108" i="3"/>
  <c r="F109" i="3"/>
  <c r="F110" i="3"/>
  <c r="F111" i="3"/>
  <c r="G130" i="3"/>
  <c r="C112" i="3"/>
  <c r="D82" i="3"/>
  <c r="D84" i="3"/>
  <c r="D87" i="3"/>
  <c r="D88" i="3"/>
  <c r="D89" i="3"/>
  <c r="D90" i="3"/>
  <c r="D91" i="3"/>
  <c r="D92" i="3"/>
  <c r="D93" i="3"/>
  <c r="C94" i="3"/>
  <c r="C95" i="3"/>
  <c r="E86" i="3"/>
  <c r="F93" i="3"/>
  <c r="F92" i="3"/>
  <c r="F91" i="3"/>
  <c r="F89" i="3"/>
  <c r="F90" i="3"/>
  <c r="F88" i="3"/>
  <c r="F87" i="3"/>
  <c r="E93" i="3"/>
  <c r="E91" i="3"/>
  <c r="E92" i="3"/>
  <c r="E90" i="3"/>
  <c r="E89" i="3"/>
  <c r="E88" i="3"/>
  <c r="E87" i="3"/>
  <c r="D7" i="3"/>
  <c r="D9" i="3"/>
  <c r="D12" i="3"/>
  <c r="D64" i="3"/>
  <c r="C77" i="3"/>
  <c r="D66" i="3"/>
  <c r="H58" i="3"/>
  <c r="C59" i="3"/>
  <c r="H34" i="3"/>
  <c r="D13" i="3"/>
  <c r="D14" i="3"/>
  <c r="D15" i="3"/>
  <c r="C16" i="3"/>
  <c r="C17" i="3"/>
  <c r="E11" i="3"/>
  <c r="E15" i="3"/>
  <c r="F15" i="3"/>
  <c r="F14" i="3"/>
  <c r="F13" i="3"/>
  <c r="F12" i="3"/>
  <c r="E14" i="3"/>
  <c r="E13" i="3"/>
  <c r="E12" i="3"/>
  <c r="D17" i="1"/>
  <c r="G17" i="1"/>
  <c r="D18" i="1"/>
  <c r="G18" i="1"/>
  <c r="D19" i="1"/>
  <c r="G19" i="1"/>
  <c r="D20" i="1"/>
  <c r="G20" i="1"/>
  <c r="G24" i="1"/>
  <c r="F284" i="4"/>
  <c r="F285" i="4"/>
  <c r="F286" i="4"/>
  <c r="F287" i="4"/>
  <c r="F288" i="4"/>
  <c r="F289" i="4"/>
  <c r="F290" i="4"/>
  <c r="F291" i="4"/>
  <c r="F292" i="4"/>
  <c r="F293" i="4"/>
  <c r="F294" i="4"/>
  <c r="F283" i="4"/>
  <c r="G162" i="4"/>
  <c r="G142" i="4"/>
  <c r="G173" i="4"/>
  <c r="F320" i="3"/>
  <c r="H302" i="3"/>
  <c r="F293" i="3"/>
  <c r="G293" i="3"/>
  <c r="F294" i="3"/>
  <c r="G294" i="3"/>
  <c r="F295" i="3"/>
  <c r="G295" i="3"/>
  <c r="F296" i="3"/>
  <c r="G296" i="3"/>
  <c r="F297" i="3"/>
  <c r="G297" i="3"/>
  <c r="F298" i="3"/>
  <c r="G298" i="3"/>
  <c r="F299" i="3"/>
  <c r="G299" i="3"/>
  <c r="F300" i="3"/>
  <c r="G300" i="3"/>
  <c r="F301" i="3"/>
  <c r="G301" i="3"/>
  <c r="F292" i="3"/>
  <c r="G292" i="3"/>
  <c r="G290" i="3"/>
  <c r="H205" i="3"/>
  <c r="J205" i="3"/>
  <c r="D176" i="3"/>
  <c r="D180" i="3"/>
  <c r="D181" i="3"/>
  <c r="D182" i="3"/>
  <c r="D183" i="3"/>
  <c r="D184" i="3"/>
  <c r="D185" i="3"/>
  <c r="D186" i="3"/>
  <c r="D187" i="3"/>
  <c r="D188" i="3"/>
  <c r="D179" i="3"/>
  <c r="D102" i="3"/>
  <c r="D106" i="3"/>
  <c r="D107" i="3"/>
  <c r="D108" i="3"/>
  <c r="D109" i="3"/>
  <c r="D110" i="3"/>
  <c r="D105" i="3"/>
  <c r="D85" i="2"/>
  <c r="D86" i="2"/>
  <c r="D87" i="2"/>
  <c r="D88" i="2"/>
  <c r="D89" i="2"/>
  <c r="D90" i="2"/>
  <c r="D84" i="2"/>
  <c r="D70" i="3"/>
  <c r="D71" i="3"/>
  <c r="D72" i="3"/>
  <c r="D73" i="3"/>
  <c r="D74" i="3"/>
  <c r="D75" i="3"/>
  <c r="D69" i="3"/>
  <c r="G16" i="3"/>
  <c r="D278" i="2"/>
  <c r="D279" i="2"/>
  <c r="D280" i="2"/>
  <c r="D281" i="2"/>
  <c r="D282" i="2"/>
  <c r="D283" i="2"/>
  <c r="D284" i="2"/>
  <c r="D285" i="2"/>
  <c r="D277" i="2"/>
  <c r="D263" i="2"/>
  <c r="D264" i="2"/>
  <c r="D265" i="2"/>
  <c r="D266" i="2"/>
  <c r="D267" i="2"/>
  <c r="D268" i="2"/>
  <c r="D269" i="2"/>
  <c r="D270" i="2"/>
  <c r="D262" i="2"/>
  <c r="D249" i="2"/>
  <c r="D250" i="2"/>
  <c r="D251" i="2"/>
  <c r="D252" i="2"/>
  <c r="D253" i="2"/>
  <c r="D254" i="2"/>
  <c r="D255" i="2"/>
  <c r="D248" i="2"/>
  <c r="D230" i="2"/>
  <c r="D231" i="2"/>
  <c r="D232" i="2"/>
  <c r="D233" i="2"/>
  <c r="D234" i="2"/>
  <c r="D235" i="2"/>
  <c r="D236" i="2"/>
  <c r="D237" i="2"/>
  <c r="D238" i="2"/>
  <c r="D239" i="2"/>
  <c r="D240" i="2"/>
  <c r="D241" i="2"/>
  <c r="D229" i="2"/>
  <c r="D219" i="2"/>
  <c r="D220" i="2"/>
  <c r="D221" i="2"/>
  <c r="D222" i="2"/>
  <c r="D206" i="2"/>
  <c r="D207" i="2"/>
  <c r="D208" i="2"/>
  <c r="D209" i="2"/>
  <c r="D210" i="2"/>
  <c r="D211" i="2"/>
  <c r="D212" i="2"/>
  <c r="D192" i="2"/>
  <c r="D193" i="2"/>
  <c r="D194" i="2"/>
  <c r="D195" i="2"/>
  <c r="D196" i="2"/>
  <c r="D197" i="2"/>
  <c r="D198" i="2"/>
  <c r="D199" i="2"/>
  <c r="D178" i="2"/>
  <c r="D179" i="2"/>
  <c r="D180" i="2"/>
  <c r="D181" i="2"/>
  <c r="D182" i="2"/>
  <c r="D183" i="2"/>
  <c r="D184" i="2"/>
  <c r="D185" i="2"/>
  <c r="D143" i="2"/>
  <c r="D144" i="2"/>
  <c r="D145" i="2"/>
  <c r="D146" i="2"/>
  <c r="D147" i="2"/>
  <c r="D148" i="2"/>
  <c r="D149" i="2"/>
  <c r="D150" i="2"/>
  <c r="D151" i="2"/>
  <c r="D152" i="2"/>
  <c r="D142" i="2"/>
  <c r="D112" i="2"/>
  <c r="D113" i="2"/>
  <c r="D114" i="2"/>
  <c r="D115" i="2"/>
  <c r="D116" i="2"/>
  <c r="D117" i="2"/>
  <c r="D118" i="2"/>
  <c r="D119" i="2"/>
  <c r="D97" i="2"/>
  <c r="D98" i="2"/>
  <c r="D99" i="2"/>
  <c r="D100" i="2"/>
  <c r="D101" i="2"/>
  <c r="D102" i="2"/>
  <c r="D103" i="2"/>
  <c r="D104" i="2"/>
  <c r="D105" i="2"/>
  <c r="D126" i="2"/>
  <c r="D127" i="2"/>
  <c r="D128" i="2"/>
  <c r="D129" i="2"/>
  <c r="D130" i="2"/>
  <c r="D131" i="2"/>
  <c r="D132" i="2"/>
  <c r="D133" i="2"/>
  <c r="D134" i="2"/>
  <c r="D135" i="2"/>
  <c r="D70" i="2"/>
  <c r="D71" i="2"/>
  <c r="D72" i="2"/>
  <c r="D73" i="2"/>
  <c r="D74" i="2"/>
  <c r="D75" i="2"/>
  <c r="D76" i="2"/>
  <c r="D77" i="2"/>
  <c r="D56" i="2"/>
  <c r="D57" i="2"/>
  <c r="D58" i="2"/>
  <c r="D59" i="2"/>
  <c r="D60" i="2"/>
  <c r="D61" i="2"/>
  <c r="D62" i="2"/>
  <c r="D63" i="2"/>
  <c r="D36" i="2"/>
  <c r="D37" i="2"/>
  <c r="D38" i="2"/>
  <c r="D39" i="2"/>
  <c r="D40" i="2"/>
  <c r="D41" i="2"/>
  <c r="D42" i="2"/>
  <c r="D43" i="2"/>
  <c r="D44" i="2"/>
  <c r="D45" i="2"/>
  <c r="D46" i="2"/>
  <c r="D47" i="2"/>
  <c r="D48" i="2"/>
  <c r="D49" i="2"/>
  <c r="C185" i="2"/>
  <c r="D23" i="2"/>
  <c r="D24" i="2"/>
  <c r="D25" i="2"/>
  <c r="D26" i="2"/>
  <c r="D27" i="2"/>
  <c r="D28" i="2"/>
  <c r="D22" i="2"/>
  <c r="D29" i="2"/>
  <c r="D11" i="2"/>
  <c r="D12" i="2"/>
  <c r="D13" i="2"/>
  <c r="D14" i="2"/>
  <c r="D15" i="2"/>
  <c r="E24" i="1"/>
  <c r="F6" i="1"/>
  <c r="F7" i="1"/>
  <c r="F8" i="1"/>
  <c r="F9" i="1"/>
  <c r="F10" i="1"/>
  <c r="F11" i="1"/>
  <c r="F12" i="1"/>
  <c r="F13" i="1"/>
  <c r="F14" i="1"/>
  <c r="F15" i="1"/>
  <c r="F16" i="1"/>
  <c r="F17" i="1"/>
  <c r="F18" i="1"/>
  <c r="F19" i="1"/>
  <c r="F20" i="1"/>
  <c r="F21" i="1"/>
  <c r="F22" i="1"/>
  <c r="F23" i="1"/>
  <c r="F5" i="1"/>
  <c r="G88" i="4"/>
  <c r="E217" i="4"/>
  <c r="E223" i="4"/>
  <c r="E222" i="4"/>
  <c r="E221" i="4"/>
  <c r="E220" i="4"/>
  <c r="E219" i="4"/>
  <c r="E218" i="4"/>
</calcChain>
</file>

<file path=xl/sharedStrings.xml><?xml version="1.0" encoding="utf-8"?>
<sst xmlns="http://schemas.openxmlformats.org/spreadsheetml/2006/main" count="2869" uniqueCount="723">
  <si>
    <t>Population (M)</t>
  </si>
  <si>
    <t>PIB (Md€)</t>
  </si>
  <si>
    <t>PIB (% zone €)</t>
  </si>
  <si>
    <t>Allemagne</t>
  </si>
  <si>
    <t>Autriche</t>
  </si>
  <si>
    <t>Belgique</t>
  </si>
  <si>
    <t>Espagne</t>
  </si>
  <si>
    <t>Finlande</t>
  </si>
  <si>
    <t>France</t>
  </si>
  <si>
    <t>Irlande</t>
  </si>
  <si>
    <t>Italie</t>
  </si>
  <si>
    <t>Luxembourg</t>
  </si>
  <si>
    <t>Pays-Bas</t>
  </si>
  <si>
    <t>Portugal</t>
  </si>
  <si>
    <t>Chypre</t>
  </si>
  <si>
    <t>Malte</t>
  </si>
  <si>
    <t>Slovaquie</t>
  </si>
  <si>
    <t>Estonie</t>
  </si>
  <si>
    <t>Lettonie</t>
  </si>
  <si>
    <t>Lituanie</t>
  </si>
  <si>
    <t>Grèce</t>
  </si>
  <si>
    <t>Slovénie</t>
  </si>
  <si>
    <t>Total</t>
  </si>
  <si>
    <t>http://ec.europa.eu/eurostat/tgm/table.do?tab=table&amp;init=1&amp;language=fr&amp;pcode=tps00001&amp;plugin=1</t>
  </si>
  <si>
    <t>(au 1e janvier 2016)</t>
  </si>
  <si>
    <t>Population</t>
  </si>
  <si>
    <t>Sources</t>
  </si>
  <si>
    <t>PIB</t>
  </si>
  <si>
    <t>http://appsso.eurostat.ec.europa.eu/nui/show.do</t>
  </si>
  <si>
    <t xml:space="preserve">(dernière mis à jour le 21/02/2017) </t>
  </si>
  <si>
    <t>Nombre de sièges</t>
  </si>
  <si>
    <t>SPD</t>
  </si>
  <si>
    <t>Parti social démocrate (centre gauche, social démocratie)</t>
  </si>
  <si>
    <t>PPE</t>
  </si>
  <si>
    <t>DIE LINKE</t>
  </si>
  <si>
    <t>Bündnis 90/Die Grünen</t>
  </si>
  <si>
    <t>Alliance 90/les verts (écologie politique, centre gauche)</t>
  </si>
  <si>
    <t>Bundestag</t>
  </si>
  <si>
    <t>NEOS</t>
  </si>
  <si>
    <t xml:space="preserve">TS </t>
  </si>
  <si>
    <t xml:space="preserve">FPÖ </t>
  </si>
  <si>
    <t>Mandat : 4 ans</t>
  </si>
  <si>
    <t>Elections : 09/2013</t>
  </si>
  <si>
    <t>Mandat : 5 ans</t>
  </si>
  <si>
    <t>Indépendants</t>
  </si>
  <si>
    <t>https://www.parlament.gv.at/WWER/NR/SITZPLANNR/index.shtml</t>
  </si>
  <si>
    <t>Parti populaire autrichien (centre-droit, libéral conservateur, europhile)</t>
  </si>
  <si>
    <t>Parti social-démocrate d'Autriche (centre gauche, social démocratie, europhile)</t>
  </si>
  <si>
    <t>Parti de la liberté d'Autriche (extrême-droite, national conservatisme, euroscepticisme)</t>
  </si>
  <si>
    <t>Die Grünen – Die Grüne Alternative</t>
  </si>
  <si>
    <t>Verts (gauche, écologie politique, europhile)</t>
  </si>
  <si>
    <t>Team Stronach (droite, libéralisme économique, euroscepticisme)</t>
  </si>
  <si>
    <t>La Nouvelle Autriche (centre, libéralisme, europhile)</t>
  </si>
  <si>
    <t>ALDE</t>
  </si>
  <si>
    <t>Partis / Groupes</t>
  </si>
  <si>
    <t>Part</t>
  </si>
  <si>
    <t>Union chrétienne-démocrate d'Allemagne / Union chrétienne-sociale en Bavière (centre droit, libéral conservateur)</t>
  </si>
  <si>
    <t>Description</t>
  </si>
  <si>
    <t>Affiliation Européenne</t>
  </si>
  <si>
    <t>GUE/NGL</t>
  </si>
  <si>
    <t>La Gauche (Gauche et extrême gauche, socialisme démocratique)</t>
  </si>
  <si>
    <t>-</t>
  </si>
  <si>
    <t>ÖVP*</t>
  </si>
  <si>
    <t>Mandat :  ans</t>
  </si>
  <si>
    <t xml:space="preserve">Elections : </t>
  </si>
  <si>
    <t>Chambre des représentants</t>
  </si>
  <si>
    <t>PS</t>
  </si>
  <si>
    <t>sp.a</t>
  </si>
  <si>
    <t>Ecolo-Groen</t>
  </si>
  <si>
    <t>cdH</t>
  </si>
  <si>
    <t>VB</t>
  </si>
  <si>
    <t>PTB-GO!</t>
  </si>
  <si>
    <t>PP</t>
  </si>
  <si>
    <t>Elections : 5/2014</t>
  </si>
  <si>
    <t>Mandat :  5 ans</t>
  </si>
  <si>
    <t>Parti socialiste (centre gauche, social-démocratie)</t>
  </si>
  <si>
    <t>Mouvement réformateur (centre droit, libéralisme)</t>
  </si>
  <si>
    <t>Centre démocrate humaniste (centre)</t>
  </si>
  <si>
    <t>DéFI</t>
  </si>
  <si>
    <t>Démocrate fédéraliste indépendant (centre, libéralisme social, régionalisme)</t>
  </si>
  <si>
    <t>Ecolo (écologie politique) - Verts (écologie politique)</t>
  </si>
  <si>
    <t>Parti Populaire (droite-extrême droite, libéral-conservatisme)</t>
  </si>
  <si>
    <t>Vlaams Belang - Intérêt Flamand (extrême-droite, nationalisme, séparatisme)</t>
  </si>
  <si>
    <t>Nieuw-Vlaamse Alliantie - Alliance néo-flamande (droite, nationalisme, libéral-conservatisme)</t>
  </si>
  <si>
    <t>Chrétiens-Democrates et Flamands  (centre droit)</t>
  </si>
  <si>
    <t>Parti socialiste flamand (centre gauche, social-démocratie)</t>
  </si>
  <si>
    <t>Open Vlaamse Liberalen en Democraten - Libéraux et démocrates flamands (centre droit, social-libéralisme, europhile)</t>
  </si>
  <si>
    <t>http://www.lachambre.be/doc/FLWB/PDF/54/0003/54K0003015.pdf</t>
  </si>
  <si>
    <t>http://www.bundestag.de/fr/parlement/pleniere#url=L2ZyL3BhcmxlbWVudC9wbGVuaWVyZS8xOGVidW5kZXN0YWcvMjQ1OTky&amp;mod=mod454450</t>
  </si>
  <si>
    <t>N-VA*</t>
  </si>
  <si>
    <t>DISY</t>
  </si>
  <si>
    <t>EDEK</t>
  </si>
  <si>
    <t>EVROKO</t>
  </si>
  <si>
    <t>KOP</t>
  </si>
  <si>
    <t>Verts (centre gauche, social démocratie, écologie politique)</t>
  </si>
  <si>
    <t>Rassemblement démocrate (centre droit, conservatisme social)</t>
  </si>
  <si>
    <t>Parti progressiste des travailleurs (extrême-gauche, communisme)</t>
  </si>
  <si>
    <t>Parti du travail de Belgique (extrême gauche, communisme)</t>
  </si>
  <si>
    <t>Parti démocrate (centre, conservatisme social)</t>
  </si>
  <si>
    <t>S&amp;D</t>
  </si>
  <si>
    <t>Mouvement pour la démocratie sociale (centre gauche, social-démocratie)</t>
  </si>
  <si>
    <t>Elections : mai 2011</t>
  </si>
  <si>
    <t>Parti européen (centre droit)</t>
  </si>
  <si>
    <t>AKEL*</t>
  </si>
  <si>
    <t>DIKO*</t>
  </si>
  <si>
    <t>http://www.epgencms.europarl.europa.eu/cmsdata/upload/5a1003b8-9005-45f4-993e-9e40ebb1b8e1/Factsheet_CY_-_House_of_Representatives.pdf</t>
  </si>
  <si>
    <t>Congrès des députés</t>
  </si>
  <si>
    <t>PSOE</t>
  </si>
  <si>
    <t>GCUP-EC-EM</t>
  </si>
  <si>
    <t>Mixte</t>
  </si>
  <si>
    <t>ERC</t>
  </si>
  <si>
    <t>PNV</t>
  </si>
  <si>
    <t>http://www.congreso.es/portal/page/portal/Congreso/Congreso/GruPar</t>
  </si>
  <si>
    <t>Unidos Podemos (gauche radicale - gauche, socialisme, écologie politique)</t>
  </si>
  <si>
    <t>Parti populaire (droite, libéral conservatisme, monarchisme)</t>
  </si>
  <si>
    <t>Parti socialiste ouvrier espagnol (centre gauche, social-démocratie, europhile, républicanisme)</t>
  </si>
  <si>
    <t>Ciudadanos - Citoyens (Centre, social-libéralisme)</t>
  </si>
  <si>
    <t>Gauche républicaine en Catalogne (gauche, socialisme, indépendantisme)</t>
  </si>
  <si>
    <t>Parti nationaliste basque (centre droit, régionalisme)</t>
  </si>
  <si>
    <t>Elections : 06/2016</t>
  </si>
  <si>
    <t>PP*</t>
  </si>
  <si>
    <t>C's*</t>
  </si>
  <si>
    <t>Eduskunta</t>
  </si>
  <si>
    <t>Parti du centre</t>
  </si>
  <si>
    <t>Parti du centre (centre, social-libéralisme)</t>
  </si>
  <si>
    <t>Vrais Finlandais (droite, national-conservatisme, eurosceptique)</t>
  </si>
  <si>
    <t>Parti de la coalition nationale (centre-droit, libéral-conservatisme)</t>
  </si>
  <si>
    <t>Parti social-démocrate (centre gauche, social-démocratie)</t>
  </si>
  <si>
    <t>Ligue verte (centre gauche, écologie politique)</t>
  </si>
  <si>
    <t>Alliance de gauche (gauche, social-démocratie)</t>
  </si>
  <si>
    <t>spf</t>
  </si>
  <si>
    <t>Parti populaire suédois de Finlande (libéralisme)</t>
  </si>
  <si>
    <t>KD</t>
  </si>
  <si>
    <t>Chrétiens-démocrates (droite, conservatisme)</t>
  </si>
  <si>
    <t>SDP</t>
  </si>
  <si>
    <t>Vihr.</t>
  </si>
  <si>
    <t>Vas.</t>
  </si>
  <si>
    <t>Assemblée Nationale</t>
  </si>
  <si>
    <t>Elections : 06/2012</t>
  </si>
  <si>
    <t>https://www.eduskunta.fi/EN/kansanedustajat/eduskuntaryhm%c3%a4t/Pages/default.aspx</t>
  </si>
  <si>
    <t>UDI</t>
  </si>
  <si>
    <t>RRDP</t>
  </si>
  <si>
    <t>GDR</t>
  </si>
  <si>
    <t>Non inscrits</t>
  </si>
  <si>
    <t>LR et apparentés</t>
  </si>
  <si>
    <t>Les Républicains (droite, libéral-conservatisme)</t>
  </si>
  <si>
    <t>Union des démocrates et indépendants (centre droit, social-libéralisme, fédéralisme européen)</t>
  </si>
  <si>
    <t>Groupe Socialiste, écologiste et républicain (PS) (gauche, socialisme)</t>
  </si>
  <si>
    <t>Groupe radical, républicain, démocrate et progressiste (PRG, MoDem…) (centre)</t>
  </si>
  <si>
    <t>Gauche démocrate et républicaine (PCF, PG…) (extrême-gauhe, communisme)</t>
  </si>
  <si>
    <t>dont Europe Ecologie Les Verts</t>
  </si>
  <si>
    <t>http://www2.assemblee-nationale.fr/instances/liste/groupes_politiques/effectif</t>
  </si>
  <si>
    <t>Vacants / non pourvus</t>
  </si>
  <si>
    <t>Aube Dorée</t>
  </si>
  <si>
    <t>Union des centristes</t>
  </si>
  <si>
    <t>SYRIZA*</t>
  </si>
  <si>
    <t>http://www.hellenicparliament.gr/en/Organosi-kai-Leitourgia/Koinovouleftikes-Omades/Synthesi-IZ-Periodou/</t>
  </si>
  <si>
    <t>ND</t>
  </si>
  <si>
    <t>Nouvelle Démocratie (centre droit, libéral conservateur, europhile)</t>
  </si>
  <si>
    <t>Coalition de la gauche radicale</t>
  </si>
  <si>
    <t>PASOK/DIMAR</t>
  </si>
  <si>
    <t>Coalition démocratique (socialiste)</t>
  </si>
  <si>
    <t>Aube Dorée (extrême droite, néofascisme, eurosceptique)</t>
  </si>
  <si>
    <t>KKE</t>
  </si>
  <si>
    <t>Parti communiste de Grèce (extrême gauche, eurosceptique)</t>
  </si>
  <si>
    <t>INITIATIVE</t>
  </si>
  <si>
    <t>Grecs indépendants (droite souverainiste, anti-austérité)</t>
  </si>
  <si>
    <t>CRE</t>
  </si>
  <si>
    <t>Enosi Kentroon</t>
  </si>
  <si>
    <t>to Potámi</t>
  </si>
  <si>
    <t>La Rivière (centre, social-démocratie, social-libéralisme)</t>
  </si>
  <si>
    <t>Voulí</t>
  </si>
  <si>
    <t>Elections : 10/2015</t>
  </si>
  <si>
    <t>Mandat :  4 ans</t>
  </si>
  <si>
    <t>Elections : 03/2016</t>
  </si>
  <si>
    <t>Dáil Éireann</t>
  </si>
  <si>
    <t>http://www.oireachtas.ie/documents/publications/201632DailElectionResults.pdf</t>
  </si>
  <si>
    <t>Fianna Fáil</t>
  </si>
  <si>
    <t>Sinn Féin</t>
  </si>
  <si>
    <t>Green Party / Comhaontas Glas</t>
  </si>
  <si>
    <t>Indépendants*</t>
  </si>
  <si>
    <t>Fianna Fáil - Parti républicain (centre droit, conservatisme)</t>
  </si>
  <si>
    <t>(gauche, socialisme, nationalisme civique)</t>
  </si>
  <si>
    <t>AAA-PBP</t>
  </si>
  <si>
    <t>Anti-Austerity Alliance People Before Profit (extrême-gauche, anti-austérité, socialisme)</t>
  </si>
  <si>
    <t>SD</t>
  </si>
  <si>
    <t xml:space="preserve">The Labour Party </t>
  </si>
  <si>
    <t>Partie travailliste (gauche, social-démocratie)</t>
  </si>
  <si>
    <t>Independents 4 change</t>
  </si>
  <si>
    <t>Independants pour le changement (gauche)</t>
  </si>
  <si>
    <t>Socio-démocrates (centre gauche, social-démocratie)</t>
  </si>
  <si>
    <t>Verts (gauche, écologie politique)</t>
  </si>
  <si>
    <t>Chambre des députés</t>
  </si>
  <si>
    <t>PD</t>
  </si>
  <si>
    <t>M5S</t>
  </si>
  <si>
    <t>FI</t>
  </si>
  <si>
    <t>SEL-SI</t>
  </si>
  <si>
    <t>NCD/UDC</t>
  </si>
  <si>
    <t>CI</t>
  </si>
  <si>
    <t>LN</t>
  </si>
  <si>
    <t>DeS-CD</t>
  </si>
  <si>
    <t>FDI</t>
  </si>
  <si>
    <t>http://www.camera.it/leg17/46</t>
  </si>
  <si>
    <t>ALA-Scelta Civica</t>
  </si>
  <si>
    <t>Alliance libérale-populaire-Autonomies - Choix Civique</t>
  </si>
  <si>
    <t>Parti démocrate (centre gauche, social-démocratie)</t>
  </si>
  <si>
    <t>Area Popolare - NCD - Centristi per l'Europa (centre droit)</t>
  </si>
  <si>
    <t>Civici e Innovatori (centre, libéral)</t>
  </si>
  <si>
    <t>Democrazia solidale - Centro Démocratico (centre, gauche chrétienne)</t>
  </si>
  <si>
    <t>dont certains font partie de la majorité parlementaire.</t>
  </si>
  <si>
    <t>Mouvement 5 Étoiles (eurosceptique)</t>
  </si>
  <si>
    <t>ELDD</t>
  </si>
  <si>
    <t>Forza Italiana (centre droit, libéral-conservateur)</t>
  </si>
  <si>
    <t>Gauche, Ecologie et Liberté - Gauche et Liberté (gauche, socialisme)</t>
  </si>
  <si>
    <t>Ligue du Nord (droite, régionaliste, eurosceptique)</t>
  </si>
  <si>
    <t>Frères d'Italie - Alliance nationale (droite nationaliste, eurosceptique)</t>
  </si>
  <si>
    <t>Elections : 03/2013</t>
  </si>
  <si>
    <t>Saeima</t>
  </si>
  <si>
    <t>http://titania.saeima.lv/personal/deputati/saeima12_depweb_public.nsf/structureview?readform&amp;type=2&amp;lang=FR</t>
  </si>
  <si>
    <t>SASKAŅA</t>
  </si>
  <si>
    <t>LRA</t>
  </si>
  <si>
    <t>NSL</t>
  </si>
  <si>
    <t>Non-inscrits</t>
  </si>
  <si>
    <t>Harmonie (centre gauche, social démocratie, défense de la minorité russe)</t>
  </si>
  <si>
    <t>Unité (centre droit, libéral-conservatisme)</t>
  </si>
  <si>
    <t>Union des Verts et des paysans (centre droit, écologie politique)</t>
  </si>
  <si>
    <t>Union nationale "Tout pour la Lettonie" - "Pour la patrie et la liberté" (droite, national-conservatisme)</t>
  </si>
  <si>
    <t>Union des régions de Lettonie (centre)</t>
  </si>
  <si>
    <t>La Lettonie au Cœur (centre droit, conservateur)</t>
  </si>
  <si>
    <t>Elections : 10/2014</t>
  </si>
  <si>
    <t>Elections : 11/2016</t>
  </si>
  <si>
    <t>Seimas</t>
  </si>
  <si>
    <t>Union lituanienne agraire et des verts (centre gauche, agrarisme, conservatisme)</t>
  </si>
  <si>
    <t>TS-LKD</t>
  </si>
  <si>
    <t>Union de la patrie - Chrétiens démocrates lituaniens (centre droit, conservatisme)</t>
  </si>
  <si>
    <t>Parti social démocrate lituanien (centre gauche, social démocratie)</t>
  </si>
  <si>
    <t>http://www.lrs.lt/sip/portal.show?p_r=8956&amp;p_k=2</t>
  </si>
  <si>
    <t>LRLS</t>
  </si>
  <si>
    <t>Mouvement libéral de la République de Lituanie (centre droit, libéralisme, conservatisme)</t>
  </si>
  <si>
    <t>Tvarka ir teisingumas</t>
  </si>
  <si>
    <t>Ordre et justice (nationalisme, conservatisme, euroscepticisme)</t>
  </si>
  <si>
    <t>LLRA</t>
  </si>
  <si>
    <t>Action électorale polonaise de Lituanie (conservatisme, chrétien, représentation des intérêts de la minorité polonaise)</t>
  </si>
  <si>
    <t>groupe mixte</t>
  </si>
  <si>
    <t>D'Chamber</t>
  </si>
  <si>
    <t>Elections : 10/2013</t>
  </si>
  <si>
    <t>CSV</t>
  </si>
  <si>
    <t>ADR</t>
  </si>
  <si>
    <t>Déi Lénk</t>
  </si>
  <si>
    <t>http://www.luxembourg.public.lu/en/le-grand-duche-se-presente/systeme-politique/institutions-politiques/chambre-deputes/index.html</t>
  </si>
  <si>
    <t>Parti Démocratique (centre droit, libéralisme)</t>
  </si>
  <si>
    <t>Parti Ouvrier Socialiste luxembourgeois (centre gauche, social démocratie)</t>
  </si>
  <si>
    <t>Les Verts (écologie politique)</t>
  </si>
  <si>
    <t>Parti populaire chrétien-social (centre droit, chrétien)</t>
  </si>
  <si>
    <t>Parti réformiste d'alternative démocratique (nationalisme, conservatisme, libéralisme)</t>
  </si>
  <si>
    <t>La Gauche (extrême gauche, anti-capitaliste, eurosceptique)</t>
  </si>
  <si>
    <t>http://www.parlament.mt/membersofparliament?l=1</t>
  </si>
  <si>
    <t>Kamra tad-Deputati</t>
  </si>
  <si>
    <t>Elections : 04/2013</t>
  </si>
  <si>
    <t>PN</t>
  </si>
  <si>
    <t>Parti Travailliste (gauche, social démocratie, nationalisme, troisième voie, eurosceptique)</t>
  </si>
  <si>
    <t>Parti nationaliste (droite, libéralisme, conservatisme, pro-européen)</t>
  </si>
  <si>
    <t>Tweede Kamer</t>
  </si>
  <si>
    <t>https://www.houseofrepresentatives.nl/members_of_parliament/parliamentary_parties</t>
  </si>
  <si>
    <t>SP</t>
  </si>
  <si>
    <t>CDA</t>
  </si>
  <si>
    <t>PVV</t>
  </si>
  <si>
    <t>D66</t>
  </si>
  <si>
    <t>CU</t>
  </si>
  <si>
    <t>GL</t>
  </si>
  <si>
    <t>SGP</t>
  </si>
  <si>
    <t>PvdD</t>
  </si>
  <si>
    <t>50PLUS</t>
  </si>
  <si>
    <t>Elections : 01/2016</t>
  </si>
  <si>
    <t>Parti populaire pour la liberté et la démocratie (centre droit, libéral conservatisme)</t>
  </si>
  <si>
    <t>Parti travailliste (centre gauche, social démocratie)</t>
  </si>
  <si>
    <t>Parti socialiste (gauche radicale, euroscepticisme)</t>
  </si>
  <si>
    <t>Parti pour la liberté (extrême droite, libéralisme, conservatisme, euroscepticisme)</t>
  </si>
  <si>
    <t>Appel chrétien-démocrate (centre, démocratie chrétienne)</t>
  </si>
  <si>
    <t>Démocrates 66 (libéralisme de gauche, social-libéralisme)</t>
  </si>
  <si>
    <t>Union chrétienne (conservatisme social, gauche chrétienne)</t>
  </si>
  <si>
    <t>Gauche verte (centre gauche, environnementalisme)</t>
  </si>
  <si>
    <t>Parti politique réformé (extrême droite chrétienne, théocratie, fort conservatisme social)</t>
  </si>
  <si>
    <t>Parti pour les animaux (centre gauche, écologisme, droit des animaux)</t>
  </si>
  <si>
    <t>Défense des intérêts des personnes âgées</t>
  </si>
  <si>
    <t>Assembleia da República</t>
  </si>
  <si>
    <t>http://www.fr.parlamento.pt/DeputesGroupesParlementaires/ResultatsElectoraux.html</t>
  </si>
  <si>
    <t>PPD/PSD</t>
  </si>
  <si>
    <t>CDS-PP</t>
  </si>
  <si>
    <t>PAN</t>
  </si>
  <si>
    <t>Parti social-démocrate (centre droit, libéral-conservatisme)</t>
  </si>
  <si>
    <t>CDS - Parti populaire (droite, démocratie chrétienne, conservatisme)</t>
  </si>
  <si>
    <t>Parti communiste portugais (gauche communiste)</t>
  </si>
  <si>
    <t>Part écologiste "Les Verts" (écologie politique)</t>
  </si>
  <si>
    <t>Parti pour les Personnes-Animaux-Nature</t>
  </si>
  <si>
    <t>Bloc de gauche (extrême gauche, anticapitalisme)</t>
  </si>
  <si>
    <t>Conseil National de la République slovaque</t>
  </si>
  <si>
    <t>SaS</t>
  </si>
  <si>
    <t>OL'aNO-NOVA</t>
  </si>
  <si>
    <t>L'SNS</t>
  </si>
  <si>
    <t>Sme Rodina</t>
  </si>
  <si>
    <t>Direction - Social-démocrate (centre gauche, social-démocratie)</t>
  </si>
  <si>
    <t>Liberté et solidarité (centre droit, libéralisme)</t>
  </si>
  <si>
    <t>Les gens ordinaires et personnalités indépendantes- Nouvelle majorité (libéral, conservateur, chrétien)</t>
  </si>
  <si>
    <t>Parti populaire "Notre Slovaquie" (extrême droite, nationalime, euroscepticisme, néo-fascisme)</t>
  </si>
  <si>
    <t>Parti de la coopération (social-libéralisme, défense des intérêts de la communauté hongroise)</t>
  </si>
  <si>
    <t>Parti national slovaque (extrême droite nationaliste, euroscepticisme)</t>
  </si>
  <si>
    <t>Nous somme une famille (droite dure, xénophobe)</t>
  </si>
  <si>
    <t>Le réseau (centre)</t>
  </si>
  <si>
    <t>Elections : 07/2014</t>
  </si>
  <si>
    <t>http://www.nrsr.sk/web/Default.aspx?sid=poslanci/zoznam_abc&amp;ListType=1&amp;CisObdobia=7 et http://www.diplomatie.gouv.fr/fr/dossiers-pays/slovaquie/presentation-de-la-slovaquie/article/composition-du-gouvernement</t>
  </si>
  <si>
    <t>SDS</t>
  </si>
  <si>
    <t>Gauche unie</t>
  </si>
  <si>
    <t>Nouvelle Slovénie</t>
  </si>
  <si>
    <t>Minorités nationales</t>
  </si>
  <si>
    <t>http://www.dz-rs.si/wps/portal/en/Home/ODrzavnemZboru/KdoJeKdo/PoslanskeSkupine et http://www.diplomatie.gouv.fr/fr/dossiers-pays/slovenie/presentation-de-la-slovenie/article/composition-du-gouvernement</t>
  </si>
  <si>
    <t>Parti du centre moderne (centre gauche, social-libéralisme)</t>
  </si>
  <si>
    <t>Parti démocratique slovène (centre droit, libéral-conservatisme, démocratie chrétienne)</t>
  </si>
  <si>
    <t>Parti démocrate des retraités slovènes (centre)</t>
  </si>
  <si>
    <t>Sociaux-démocrates (centre gauche)</t>
  </si>
  <si>
    <t>Gauche unie (gauche, éco-socialisme, anticapitalisme)</t>
  </si>
  <si>
    <t>Nouvelle Slovénie - Parti chrétien populaire (centre droit)</t>
  </si>
  <si>
    <t>ZaAB</t>
  </si>
  <si>
    <t>Alliance d'Alenka Bratusek (centre gauche)</t>
  </si>
  <si>
    <t>Državni zbor</t>
  </si>
  <si>
    <t>PROPORTIONNELLE À LA PLUS FORTE MOYENNE</t>
  </si>
  <si>
    <t>Quotient électoral</t>
  </si>
  <si>
    <t>Listes</t>
  </si>
  <si>
    <t>CDU/CSU*</t>
  </si>
  <si>
    <t>Nb sièges</t>
  </si>
  <si>
    <t>Nb sièges parlement national</t>
  </si>
  <si>
    <t>nb sièges national</t>
  </si>
  <si>
    <t>FINAL</t>
  </si>
  <si>
    <t>SPÖ*</t>
  </si>
  <si>
    <t>MR*</t>
  </si>
  <si>
    <t>CD&amp;V*</t>
  </si>
  <si>
    <t>Open Vld*</t>
  </si>
  <si>
    <t>Kesk*</t>
  </si>
  <si>
    <t>Perussuomalaiset*</t>
  </si>
  <si>
    <t>Kok*</t>
  </si>
  <si>
    <t>Riigikogu</t>
  </si>
  <si>
    <t>Elections : 03/2014</t>
  </si>
  <si>
    <t>ERE</t>
  </si>
  <si>
    <t>EVA</t>
  </si>
  <si>
    <t>EKRE</t>
  </si>
  <si>
    <t>Parti de la réforme d'Estonie (centre droit)</t>
  </si>
  <si>
    <t>Parti social démocrate (centre gauche)</t>
  </si>
  <si>
    <t>Union de la patrie et Res Republica (centre droit, démocratie chrétienne)</t>
  </si>
  <si>
    <t>Parti libre d'Estonie (droite)</t>
  </si>
  <si>
    <t>Parti populaire conservateur d'Estonie (droite nationaliste, eurosceptique)</t>
  </si>
  <si>
    <t>https://www.riigikogu.ee/en/parliament-of-estonia/composition/members-riigikogu/?searchByFraction%5B0%5D=d4e90963-1d10-4f8a-bf37-a99ca8531ff3&amp;search=search</t>
  </si>
  <si>
    <t>EKE*</t>
  </si>
  <si>
    <t>SDE*</t>
  </si>
  <si>
    <t>IRL*</t>
  </si>
  <si>
    <t>AN.EL*</t>
  </si>
  <si>
    <t>Fine Gael*</t>
  </si>
  <si>
    <t>VIENOTĪBA*</t>
  </si>
  <si>
    <t>ZZS*</t>
  </si>
  <si>
    <t>VL-TB/LNNK*</t>
  </si>
  <si>
    <t>LVŽS*</t>
  </si>
  <si>
    <t>LSDP*</t>
  </si>
  <si>
    <t>LSAP*</t>
  </si>
  <si>
    <t>DP*</t>
  </si>
  <si>
    <t>Déi Gréng*</t>
  </si>
  <si>
    <t>PL*</t>
  </si>
  <si>
    <t>Pays Bas</t>
  </si>
  <si>
    <t>VVD*</t>
  </si>
  <si>
    <t>PvdA*</t>
  </si>
  <si>
    <t>PS*</t>
  </si>
  <si>
    <t>BE*</t>
  </si>
  <si>
    <t>PCP*</t>
  </si>
  <si>
    <t>PEV*</t>
  </si>
  <si>
    <t>Smer-SD*</t>
  </si>
  <si>
    <t>SNS*</t>
  </si>
  <si>
    <t>MOST-HID*</t>
  </si>
  <si>
    <t>#SIEŤ*</t>
  </si>
  <si>
    <t>SMC*</t>
  </si>
  <si>
    <t>DeSUS*</t>
  </si>
  <si>
    <t>SD*</t>
  </si>
  <si>
    <t>Reste</t>
  </si>
  <si>
    <t>Zone Euro - Caractéristiques pays</t>
  </si>
  <si>
    <r>
      <t>CDU/CSU</t>
    </r>
    <r>
      <rPr>
        <sz val="11"/>
        <color rgb="FFFF0000"/>
        <rFont val="Calibri"/>
        <family val="2"/>
        <scheme val="minor"/>
      </rPr>
      <t>*</t>
    </r>
  </si>
  <si>
    <t>Nationalrat (chambre basse)</t>
  </si>
  <si>
    <r>
      <t>SPÖ</t>
    </r>
    <r>
      <rPr>
        <sz val="11"/>
        <color rgb="FFFF0000"/>
        <rFont val="Calibri"/>
        <family val="2"/>
        <scheme val="minor"/>
      </rPr>
      <t>*</t>
    </r>
  </si>
  <si>
    <r>
      <t>ÖVP</t>
    </r>
    <r>
      <rPr>
        <sz val="11"/>
        <color rgb="FFFF0000"/>
        <rFont val="Calibri"/>
        <family val="2"/>
        <scheme val="minor"/>
      </rPr>
      <t>*</t>
    </r>
  </si>
  <si>
    <r>
      <t>N-VA</t>
    </r>
    <r>
      <rPr>
        <sz val="11"/>
        <color rgb="FFFF0000"/>
        <rFont val="Calibri"/>
        <family val="2"/>
        <scheme val="minor"/>
      </rPr>
      <t>*</t>
    </r>
  </si>
  <si>
    <r>
      <t>MR</t>
    </r>
    <r>
      <rPr>
        <sz val="11"/>
        <color rgb="FFFF0000"/>
        <rFont val="Calibri"/>
        <family val="2"/>
        <scheme val="minor"/>
      </rPr>
      <t>*</t>
    </r>
  </si>
  <si>
    <r>
      <t>CD&amp;V</t>
    </r>
    <r>
      <rPr>
        <sz val="11"/>
        <color rgb="FFFF0000"/>
        <rFont val="Calibri"/>
        <family val="2"/>
        <scheme val="minor"/>
      </rPr>
      <t>*</t>
    </r>
  </si>
  <si>
    <r>
      <t>Open Vld</t>
    </r>
    <r>
      <rPr>
        <sz val="11"/>
        <color rgb="FFFF0000"/>
        <rFont val="Calibri"/>
        <family val="2"/>
        <scheme val="minor"/>
      </rPr>
      <t>*</t>
    </r>
  </si>
  <si>
    <r>
      <t>AKEL</t>
    </r>
    <r>
      <rPr>
        <sz val="11"/>
        <color rgb="FFFF0000"/>
        <rFont val="Calibri"/>
        <family val="2"/>
        <scheme val="minor"/>
      </rPr>
      <t>*</t>
    </r>
  </si>
  <si>
    <r>
      <t>DIKO</t>
    </r>
    <r>
      <rPr>
        <sz val="11"/>
        <color rgb="FFFF0000"/>
        <rFont val="Calibri"/>
        <family val="2"/>
        <scheme val="minor"/>
      </rPr>
      <t>*</t>
    </r>
  </si>
  <si>
    <r>
      <t>PP</t>
    </r>
    <r>
      <rPr>
        <sz val="11"/>
        <color rgb="FFFF0000"/>
        <rFont val="Calibri"/>
        <family val="2"/>
        <scheme val="minor"/>
      </rPr>
      <t>*</t>
    </r>
  </si>
  <si>
    <r>
      <t>C's</t>
    </r>
    <r>
      <rPr>
        <sz val="11"/>
        <color rgb="FFFF0000"/>
        <rFont val="Calibri"/>
        <family val="2"/>
        <scheme val="minor"/>
      </rPr>
      <t>*</t>
    </r>
  </si>
  <si>
    <r>
      <t>EKE</t>
    </r>
    <r>
      <rPr>
        <sz val="11"/>
        <color rgb="FFFF0000"/>
        <rFont val="Calibri"/>
        <family val="2"/>
        <scheme val="minor"/>
      </rPr>
      <t>*</t>
    </r>
  </si>
  <si>
    <r>
      <t>SDE</t>
    </r>
    <r>
      <rPr>
        <sz val="11"/>
        <color rgb="FFFF0000"/>
        <rFont val="Calibri"/>
        <family val="2"/>
        <scheme val="minor"/>
      </rPr>
      <t>*</t>
    </r>
  </si>
  <si>
    <r>
      <t>IRL</t>
    </r>
    <r>
      <rPr>
        <sz val="11"/>
        <color rgb="FFFF0000"/>
        <rFont val="Calibri"/>
        <family val="2"/>
        <scheme val="minor"/>
      </rPr>
      <t>*</t>
    </r>
  </si>
  <si>
    <r>
      <t>Kesk</t>
    </r>
    <r>
      <rPr>
        <sz val="11"/>
        <color rgb="FFFF0000"/>
        <rFont val="Calibri"/>
        <family val="2"/>
        <scheme val="minor"/>
      </rPr>
      <t>*</t>
    </r>
  </si>
  <si>
    <r>
      <t>Perussuomalaiset</t>
    </r>
    <r>
      <rPr>
        <sz val="11"/>
        <color rgb="FFFF0000"/>
        <rFont val="Calibri"/>
        <family val="2"/>
        <scheme val="minor"/>
      </rPr>
      <t>*</t>
    </r>
  </si>
  <si>
    <r>
      <t>Kok</t>
    </r>
    <r>
      <rPr>
        <sz val="11"/>
        <color rgb="FFFF0000"/>
        <rFont val="Calibri"/>
        <family val="2"/>
        <scheme val="minor"/>
      </rPr>
      <t>*</t>
    </r>
  </si>
  <si>
    <r>
      <t>SER et apparentés</t>
    </r>
    <r>
      <rPr>
        <sz val="11"/>
        <color rgb="FFFF0000"/>
        <rFont val="Calibri"/>
        <family val="2"/>
        <scheme val="minor"/>
      </rPr>
      <t>*</t>
    </r>
  </si>
  <si>
    <r>
      <t>SYRIZA</t>
    </r>
    <r>
      <rPr>
        <sz val="11"/>
        <color rgb="FFFF0000"/>
        <rFont val="Calibri"/>
        <family val="2"/>
        <scheme val="minor"/>
      </rPr>
      <t>*</t>
    </r>
  </si>
  <si>
    <r>
      <t>AN.EL</t>
    </r>
    <r>
      <rPr>
        <sz val="11"/>
        <color rgb="FFFF0000"/>
        <rFont val="Calibri"/>
        <family val="2"/>
        <scheme val="minor"/>
      </rPr>
      <t>*</t>
    </r>
  </si>
  <si>
    <r>
      <t>Fine Gael</t>
    </r>
    <r>
      <rPr>
        <sz val="11"/>
        <color rgb="FFFF0000"/>
        <rFont val="Calibri"/>
        <family val="2"/>
        <scheme val="minor"/>
      </rPr>
      <t>*</t>
    </r>
  </si>
  <si>
    <r>
      <t>Indépendants</t>
    </r>
    <r>
      <rPr>
        <sz val="11"/>
        <color rgb="FFFF0000"/>
        <rFont val="Calibri"/>
        <family val="2"/>
        <scheme val="minor"/>
      </rPr>
      <t>*</t>
    </r>
  </si>
  <si>
    <r>
      <t>VIENOTĪBA</t>
    </r>
    <r>
      <rPr>
        <sz val="11"/>
        <color rgb="FFFF0000"/>
        <rFont val="Calibri"/>
        <family val="2"/>
        <scheme val="minor"/>
      </rPr>
      <t>*</t>
    </r>
  </si>
  <si>
    <r>
      <t>ZZS</t>
    </r>
    <r>
      <rPr>
        <sz val="11"/>
        <color rgb="FFFF0000"/>
        <rFont val="Calibri"/>
        <family val="2"/>
        <scheme val="minor"/>
      </rPr>
      <t>*</t>
    </r>
  </si>
  <si>
    <r>
      <t>VL-TB/LNNK</t>
    </r>
    <r>
      <rPr>
        <sz val="11"/>
        <color rgb="FFFF0000"/>
        <rFont val="Calibri"/>
        <family val="2"/>
        <scheme val="minor"/>
      </rPr>
      <t>*</t>
    </r>
  </si>
  <si>
    <r>
      <t>LVŽS</t>
    </r>
    <r>
      <rPr>
        <sz val="11"/>
        <color rgb="FFFF0000"/>
        <rFont val="Calibri"/>
        <family val="2"/>
        <scheme val="minor"/>
      </rPr>
      <t>*</t>
    </r>
  </si>
  <si>
    <r>
      <t>LSDP</t>
    </r>
    <r>
      <rPr>
        <sz val="11"/>
        <color rgb="FFFF0000"/>
        <rFont val="Calibri"/>
        <family val="2"/>
        <scheme val="minor"/>
      </rPr>
      <t>*</t>
    </r>
  </si>
  <si>
    <r>
      <t>LSAP</t>
    </r>
    <r>
      <rPr>
        <sz val="11"/>
        <color rgb="FFFF0000"/>
        <rFont val="Calibri"/>
        <family val="2"/>
        <scheme val="minor"/>
      </rPr>
      <t>*</t>
    </r>
  </si>
  <si>
    <r>
      <t>DP</t>
    </r>
    <r>
      <rPr>
        <sz val="11"/>
        <color rgb="FFFF0000"/>
        <rFont val="Calibri"/>
        <family val="2"/>
        <scheme val="minor"/>
      </rPr>
      <t>*</t>
    </r>
  </si>
  <si>
    <r>
      <t>Déi Gréng</t>
    </r>
    <r>
      <rPr>
        <sz val="11"/>
        <color rgb="FFFF0000"/>
        <rFont val="Calibri"/>
        <family val="2"/>
        <scheme val="minor"/>
      </rPr>
      <t>*</t>
    </r>
  </si>
  <si>
    <r>
      <t>PL</t>
    </r>
    <r>
      <rPr>
        <sz val="11"/>
        <color rgb="FFFF0000"/>
        <rFont val="Calibri"/>
        <family val="2"/>
        <scheme val="minor"/>
      </rPr>
      <t>*</t>
    </r>
  </si>
  <si>
    <r>
      <t>VVD</t>
    </r>
    <r>
      <rPr>
        <sz val="11"/>
        <color rgb="FFFF0000"/>
        <rFont val="Calibri"/>
        <family val="2"/>
        <scheme val="minor"/>
      </rPr>
      <t>*</t>
    </r>
  </si>
  <si>
    <r>
      <t>PvdA</t>
    </r>
    <r>
      <rPr>
        <sz val="11"/>
        <color rgb="FFFF0000"/>
        <rFont val="Calibri"/>
        <family val="2"/>
        <scheme val="minor"/>
      </rPr>
      <t>*</t>
    </r>
  </si>
  <si>
    <r>
      <t>PS</t>
    </r>
    <r>
      <rPr>
        <sz val="11"/>
        <color rgb="FFFF0000"/>
        <rFont val="Calibri"/>
        <family val="2"/>
        <scheme val="minor"/>
      </rPr>
      <t>*</t>
    </r>
  </si>
  <si>
    <r>
      <t>BE</t>
    </r>
    <r>
      <rPr>
        <sz val="11"/>
        <color rgb="FFFF0000"/>
        <rFont val="Calibri"/>
        <family val="2"/>
        <scheme val="minor"/>
      </rPr>
      <t>*</t>
    </r>
  </si>
  <si>
    <r>
      <t>PCP</t>
    </r>
    <r>
      <rPr>
        <sz val="11"/>
        <color rgb="FFFF0000"/>
        <rFont val="Calibri"/>
        <family val="2"/>
        <scheme val="minor"/>
      </rPr>
      <t>*</t>
    </r>
  </si>
  <si>
    <r>
      <t>PEV</t>
    </r>
    <r>
      <rPr>
        <sz val="11"/>
        <color rgb="FFFF0000"/>
        <rFont val="Calibri"/>
        <family val="2"/>
        <scheme val="minor"/>
      </rPr>
      <t>*</t>
    </r>
  </si>
  <si>
    <r>
      <t>Smer-SD</t>
    </r>
    <r>
      <rPr>
        <sz val="11"/>
        <color rgb="FFFF0000"/>
        <rFont val="Calibri"/>
        <family val="2"/>
        <scheme val="minor"/>
      </rPr>
      <t>*</t>
    </r>
  </si>
  <si>
    <r>
      <t>SNS</t>
    </r>
    <r>
      <rPr>
        <sz val="11"/>
        <color rgb="FFFF0000"/>
        <rFont val="Calibri"/>
        <family val="2"/>
        <scheme val="minor"/>
      </rPr>
      <t>*</t>
    </r>
  </si>
  <si>
    <r>
      <t>MOST-HID</t>
    </r>
    <r>
      <rPr>
        <sz val="11"/>
        <color rgb="FFFF0000"/>
        <rFont val="Calibri"/>
        <family val="2"/>
        <scheme val="minor"/>
      </rPr>
      <t>*</t>
    </r>
  </si>
  <si>
    <r>
      <t>#SIEŤ</t>
    </r>
    <r>
      <rPr>
        <sz val="11"/>
        <color rgb="FFFF0000"/>
        <rFont val="Calibri"/>
        <family val="2"/>
        <scheme val="minor"/>
      </rPr>
      <t>*</t>
    </r>
  </si>
  <si>
    <r>
      <t>SMC</t>
    </r>
    <r>
      <rPr>
        <sz val="11"/>
        <color rgb="FFFF0000"/>
        <rFont val="Calibri"/>
        <family val="2"/>
        <scheme val="minor"/>
      </rPr>
      <t>*</t>
    </r>
  </si>
  <si>
    <r>
      <t>DeSUS</t>
    </r>
    <r>
      <rPr>
        <sz val="11"/>
        <color rgb="FFFF0000"/>
        <rFont val="Calibri"/>
        <family val="2"/>
        <scheme val="minor"/>
      </rPr>
      <t>*</t>
    </r>
  </si>
  <si>
    <r>
      <t>SD</t>
    </r>
    <r>
      <rPr>
        <sz val="11"/>
        <color rgb="FFFF0000"/>
        <rFont val="Calibri"/>
        <family val="2"/>
        <scheme val="minor"/>
      </rPr>
      <t>*</t>
    </r>
  </si>
  <si>
    <t>(% zone €)</t>
  </si>
  <si>
    <t>Nb de sièges</t>
  </si>
  <si>
    <t>(2015, SEC 2010, 
prix de marché)</t>
  </si>
  <si>
    <t>(prorata de la population)</t>
  </si>
  <si>
    <t>Date de consultation des sources : 22/02/2017</t>
  </si>
  <si>
    <t>ADLE</t>
  </si>
  <si>
    <t>Verts/ALE</t>
  </si>
  <si>
    <t>ENL</t>
  </si>
  <si>
    <t>NI (APF)</t>
  </si>
  <si>
    <t>Constitution des parlements nationaux</t>
  </si>
  <si>
    <t>Nb sièges attribués</t>
  </si>
  <si>
    <t>Bündnis 90 / Die Grünen</t>
  </si>
  <si>
    <t>Quotient électoral (QE)</t>
  </si>
  <si>
    <r>
      <t xml:space="preserve">Sièges / QE
</t>
    </r>
    <r>
      <rPr>
        <b/>
        <sz val="10"/>
        <color theme="1"/>
        <rFont val="Calibri"/>
        <family val="2"/>
        <scheme val="minor"/>
      </rPr>
      <t>(division entière)</t>
    </r>
  </si>
  <si>
    <t>Attribution des sièges restants</t>
  </si>
  <si>
    <t>Die Grünen</t>
  </si>
  <si>
    <t>Sièges / QE</t>
  </si>
  <si>
    <t>LR</t>
  </si>
  <si>
    <t>SER*</t>
  </si>
  <si>
    <t>Vacants / NP</t>
  </si>
  <si>
    <t>le 5ème siège restant a été attribué à LR au lieu de 'Non inscrits'</t>
  </si>
  <si>
    <t>pas de siège attribué au groupe Mixte</t>
  </si>
  <si>
    <t>Attribution des sièges restants (1)</t>
  </si>
  <si>
    <t>PROPORTIONNELLE AU PLUS FORT RESTE</t>
  </si>
  <si>
    <t>Bündnis 90/ Die Grünen</t>
  </si>
  <si>
    <t>PASOK/ DIMAR</t>
  </si>
  <si>
    <t>0 ou 1</t>
  </si>
  <si>
    <t>1 ou 0</t>
  </si>
  <si>
    <t>Ici on attribue le siège au parti majoritaire</t>
  </si>
  <si>
    <t>Plus forte moyenne</t>
  </si>
  <si>
    <t>Plus fort reste</t>
  </si>
  <si>
    <t>Allemagne (24 sièges)</t>
  </si>
  <si>
    <t>Autriche (3 sièges)</t>
  </si>
  <si>
    <t>Belgique (3 sièges)</t>
  </si>
  <si>
    <t>Chypre (1 siège)</t>
  </si>
  <si>
    <t>Espagne (14 sièges)</t>
  </si>
  <si>
    <t>Estonie (1 siège)</t>
  </si>
  <si>
    <t>Finlande (2 sièges)</t>
  </si>
  <si>
    <t>France (20 sièges)</t>
  </si>
  <si>
    <t>Grèce (3 sièges)</t>
  </si>
  <si>
    <t>Irlande (1 siège)</t>
  </si>
  <si>
    <t>Italie (18 sièges)</t>
  </si>
  <si>
    <t>Lettonie (1 siège)</t>
  </si>
  <si>
    <t>Lituanie (1 siège)</t>
  </si>
  <si>
    <t>Luxembourg (1 siège)</t>
  </si>
  <si>
    <t>Malte (1 siège)</t>
  </si>
  <si>
    <t>Pays Bas (5 sièges)</t>
  </si>
  <si>
    <t>Portugal (3 sièges)</t>
  </si>
  <si>
    <t>Slovaquie (2 sièges)</t>
  </si>
  <si>
    <t>Slovénie (1 siège)</t>
  </si>
  <si>
    <t>(plus favorable aux grands partis)</t>
  </si>
  <si>
    <t>(plus favorable aux petits partis)</t>
  </si>
  <si>
    <t>Chambre basse</t>
  </si>
  <si>
    <t>Chambre haute</t>
  </si>
  <si>
    <t>Date de consultation des sources : 28/02/2017</t>
  </si>
  <si>
    <t>Bundesrat</t>
  </si>
  <si>
    <t>http://www.bundesrat.de/FR/organisation-fr/stimmenverteilung-fr/stimmenverteilung-fr-inhalt.html</t>
  </si>
  <si>
    <t>Mandat : 4 ou 5 ans (selon Land)</t>
  </si>
  <si>
    <t>Elections : selon Parlements régionaux</t>
  </si>
  <si>
    <t>Les verts (écologie politique, centre gauche)</t>
  </si>
  <si>
    <t>FDP</t>
  </si>
  <si>
    <t>Parti libéral-démocrate (centre droit)</t>
  </si>
  <si>
    <t>Autres</t>
  </si>
  <si>
    <t>Fédération des électeurs du Schleswig du Sud</t>
  </si>
  <si>
    <t>https://www.parlament.gv.at/WWER/BR/SITZPLANBR/index.shtml</t>
  </si>
  <si>
    <t>http://www.senate.be/www/?MIval=/index_senate&amp;MENUID=24200&amp;LANG=fr</t>
  </si>
  <si>
    <t>Elections : 2014</t>
  </si>
  <si>
    <t>Chypre : Système unicaméral</t>
  </si>
  <si>
    <t>http://www.senado.es/web/composicionorganizacion/gruposparlamentarios/composiciongruposparlamentarios/index.html</t>
  </si>
  <si>
    <t>EAJ-PNV</t>
  </si>
  <si>
    <t>Sénat</t>
  </si>
  <si>
    <t>Elections : 2016</t>
  </si>
  <si>
    <t>Estonie : système unicaméral</t>
  </si>
  <si>
    <t>Finlande : système unicaméral</t>
  </si>
  <si>
    <t>https://www.senat.fr/grp/index.html</t>
  </si>
  <si>
    <t>Groupe socialiste et républicain</t>
  </si>
  <si>
    <t>Groupe LR</t>
  </si>
  <si>
    <t>Groupe UDI-UC</t>
  </si>
  <si>
    <t>Groupe communiste, républicain et citoyen</t>
  </si>
  <si>
    <t>Groupe écologiste</t>
  </si>
  <si>
    <t>Hors liste</t>
  </si>
  <si>
    <t>gauche, socialisme</t>
  </si>
  <si>
    <t>Gauche démocrate et républicaine (extrême-gauche, communisme)</t>
  </si>
  <si>
    <t>Grèce : système unicaméral</t>
  </si>
  <si>
    <t>Seanad Éireann</t>
  </si>
  <si>
    <t>Green Party</t>
  </si>
  <si>
    <t>Nommés par le 1e ministre</t>
  </si>
  <si>
    <t>NB : normalement ne reconnaît pas les partis, en pratique reflète les rapports de force de la chambre basse</t>
  </si>
  <si>
    <t>http://www.senato.it/leg/17/BGT/Schede/Gruppi/Grp.html</t>
  </si>
  <si>
    <t>Démocrates et progressistes (scission du DP, centre gauche)</t>
  </si>
  <si>
    <t>SI-SEL</t>
  </si>
  <si>
    <t>Dans le cas de l'égalité du reste, on donne le siège au parti ayant le plus grand nombre de sièges initialement</t>
  </si>
  <si>
    <t>Per le Autonomie-PSI-MAIE</t>
  </si>
  <si>
    <t>Minorités linguistiques</t>
  </si>
  <si>
    <t>Grandi Autonomie e Libertà</t>
  </si>
  <si>
    <t>Centre droit</t>
  </si>
  <si>
    <t>Centre droit (régionalisme)</t>
  </si>
  <si>
    <t>Conservatori e Reformisti</t>
  </si>
  <si>
    <t>Droite ( libéralisme)</t>
  </si>
  <si>
    <t>Lettonie : système unicaméral</t>
  </si>
  <si>
    <t>Lituanie : système unicaméral</t>
  </si>
  <si>
    <t>Luxembourg : système unicaméral</t>
  </si>
  <si>
    <t>Malte : système unicaméral</t>
  </si>
  <si>
    <t>Eerste Kamer</t>
  </si>
  <si>
    <t>https://www.eerstekamer.nl/fracties</t>
  </si>
  <si>
    <t>OSF</t>
  </si>
  <si>
    <t>Elections : 2013</t>
  </si>
  <si>
    <t>Portugal : système unicaméral</t>
  </si>
  <si>
    <t>Slovaquie : système unicaméral</t>
  </si>
  <si>
    <t>Državni svet</t>
  </si>
  <si>
    <t>NB : en partie indépendant des partis politiques. Des représentants territoriaux et de catégories socio-professionnelles. Un pouvoir législatif relativement limité</t>
  </si>
  <si>
    <t>Les membres du Conseil National slovène (Državni svet) ne sont pas censés être liés aux partis politiques. On ne trouve donc pas d'information sur sa composition en terme de groupes parlementaires.</t>
  </si>
  <si>
    <t>nb sièges national (total sur les deux chambres)</t>
  </si>
  <si>
    <t>Nb sièges parlement national (2 chambres)</t>
  </si>
  <si>
    <r>
      <rPr>
        <sz val="12"/>
        <color rgb="FF0000FF"/>
        <rFont val="Calibri"/>
        <family val="2"/>
        <scheme val="minor"/>
      </rPr>
      <t>Bündnis 90</t>
    </r>
    <r>
      <rPr>
        <sz val="12"/>
        <color theme="1"/>
        <rFont val="Calibri"/>
        <family val="2"/>
        <scheme val="minor"/>
      </rPr>
      <t xml:space="preserve"> / Die Grünen</t>
    </r>
  </si>
  <si>
    <t>groupe</t>
  </si>
  <si>
    <t>uniquement présent dans la chambre basse</t>
  </si>
  <si>
    <t>uniquement présent dans la chambre haute</t>
  </si>
  <si>
    <r>
      <t xml:space="preserve">Chypre </t>
    </r>
    <r>
      <rPr>
        <sz val="12"/>
        <color theme="1"/>
        <rFont val="Calibri"/>
        <family val="2"/>
        <scheme val="minor"/>
      </rPr>
      <t>(système unicaméral)</t>
    </r>
  </si>
  <si>
    <r>
      <t xml:space="preserve">Estonie </t>
    </r>
    <r>
      <rPr>
        <sz val="12"/>
        <color theme="1"/>
        <rFont val="Calibri"/>
        <family val="2"/>
        <scheme val="minor"/>
      </rPr>
      <t>(Système unicaméral)</t>
    </r>
  </si>
  <si>
    <r>
      <t xml:space="preserve">Finlande </t>
    </r>
    <r>
      <rPr>
        <sz val="12"/>
        <color theme="1"/>
        <rFont val="Calibri"/>
        <family val="2"/>
        <scheme val="minor"/>
      </rPr>
      <t>(Système unicaméral)</t>
    </r>
  </si>
  <si>
    <t>Les groupes parlementaires de l'Assemblée et du Sénat étant différents en France, ils sont présentés séparément</t>
  </si>
  <si>
    <t>Groupe communise, républicain et citoyen</t>
  </si>
  <si>
    <t>Groupe du Rassemblement démocratique et social européen</t>
  </si>
  <si>
    <t>Non inscrits / hors liste</t>
  </si>
  <si>
    <t>Pour les sièges 4 et 5 on prend les groupes ayant le plus de sièges initialement</t>
  </si>
  <si>
    <r>
      <t xml:space="preserve">Grèce </t>
    </r>
    <r>
      <rPr>
        <sz val="12"/>
        <color theme="1"/>
        <rFont val="Calibri"/>
        <family val="2"/>
        <scheme val="minor"/>
      </rPr>
      <t>(Système unicaméral)</t>
    </r>
  </si>
  <si>
    <r>
      <t xml:space="preserve">Green Party / </t>
    </r>
    <r>
      <rPr>
        <sz val="12"/>
        <color rgb="FF0000FF"/>
        <rFont val="Calibri"/>
        <family val="2"/>
        <scheme val="minor"/>
      </rPr>
      <t>Comhaontas Glas</t>
    </r>
  </si>
  <si>
    <t>nb sièges national (total des deux chambres)</t>
  </si>
  <si>
    <t>Sénateurs nommés</t>
  </si>
  <si>
    <r>
      <t xml:space="preserve">Lettonie </t>
    </r>
    <r>
      <rPr>
        <sz val="12"/>
        <color theme="1"/>
        <rFont val="Calibri"/>
        <family val="2"/>
        <scheme val="minor"/>
      </rPr>
      <t>(Système unicaméral)</t>
    </r>
  </si>
  <si>
    <r>
      <t xml:space="preserve">Lituanie </t>
    </r>
    <r>
      <rPr>
        <sz val="12"/>
        <color theme="1"/>
        <rFont val="Calibri"/>
        <family val="2"/>
        <scheme val="minor"/>
      </rPr>
      <t>(Système unicaméral)</t>
    </r>
  </si>
  <si>
    <r>
      <t xml:space="preserve">Luxembourg </t>
    </r>
    <r>
      <rPr>
        <sz val="12"/>
        <color theme="1"/>
        <rFont val="Calibri"/>
        <family val="2"/>
        <scheme val="minor"/>
      </rPr>
      <t>(Système unicaméral)</t>
    </r>
  </si>
  <si>
    <r>
      <t xml:space="preserve">Malte </t>
    </r>
    <r>
      <rPr>
        <sz val="12"/>
        <color theme="1"/>
        <rFont val="Calibri"/>
        <family val="2"/>
        <scheme val="minor"/>
      </rPr>
      <t>(Système unicaméral)</t>
    </r>
  </si>
  <si>
    <r>
      <t xml:space="preserve">Portugal </t>
    </r>
    <r>
      <rPr>
        <sz val="12"/>
        <color theme="1"/>
        <rFont val="Calibri"/>
        <family val="2"/>
        <scheme val="minor"/>
      </rPr>
      <t>(Système unicaméral)</t>
    </r>
  </si>
  <si>
    <r>
      <t xml:space="preserve">Slovaquie </t>
    </r>
    <r>
      <rPr>
        <sz val="12"/>
        <color theme="1"/>
        <rFont val="Calibri"/>
        <family val="2"/>
        <scheme val="minor"/>
      </rPr>
      <t>(Système unicaméral)</t>
    </r>
  </si>
  <si>
    <r>
      <t xml:space="preserve">Slovénie </t>
    </r>
    <r>
      <rPr>
        <sz val="12"/>
        <color theme="1"/>
        <rFont val="Calibri"/>
        <family val="2"/>
        <scheme val="minor"/>
      </rPr>
      <t>(Fonctionnement spécifique de la chambre haute)</t>
    </r>
  </si>
  <si>
    <t>En ne prenant en compte que la chambre basse</t>
  </si>
  <si>
    <t>En prenant en compte le bicaméralisme</t>
  </si>
  <si>
    <r>
      <t xml:space="preserve">Chypre (1 siège) </t>
    </r>
    <r>
      <rPr>
        <sz val="12"/>
        <color theme="1"/>
        <rFont val="Calibri"/>
        <family val="2"/>
        <scheme val="minor"/>
      </rPr>
      <t>- système monocaméral</t>
    </r>
  </si>
  <si>
    <t>(ERC absent)</t>
  </si>
  <si>
    <r>
      <t xml:space="preserve">Estonie (1 siège) </t>
    </r>
    <r>
      <rPr>
        <sz val="12"/>
        <color theme="1"/>
        <rFont val="Calibri"/>
        <family val="2"/>
        <scheme val="minor"/>
      </rPr>
      <t>- système monocaméral</t>
    </r>
  </si>
  <si>
    <r>
      <t xml:space="preserve">Finlande (2 sièges) </t>
    </r>
    <r>
      <rPr>
        <sz val="12"/>
        <color theme="1"/>
        <rFont val="Calibri"/>
        <family val="2"/>
        <scheme val="minor"/>
      </rPr>
      <t>- système monocaméral</t>
    </r>
  </si>
  <si>
    <r>
      <t xml:space="preserve">Grèce (3 sièges) </t>
    </r>
    <r>
      <rPr>
        <sz val="12"/>
        <color theme="1"/>
        <rFont val="Calibri"/>
        <family val="2"/>
        <scheme val="minor"/>
      </rPr>
      <t>- système monocaméral</t>
    </r>
  </si>
  <si>
    <t>(Per le Autonomie-PSI-MAIE uniquement présent dans la chambre haute)</t>
  </si>
  <si>
    <t>RDSE</t>
  </si>
  <si>
    <t>Groupe du Rassemblement Démocratique et Social européen (composition variée : PRG, PS, divers gauche, globalement centre-centre gauche)</t>
  </si>
  <si>
    <t>Socialisme</t>
  </si>
  <si>
    <t>Ligne politique globale</t>
  </si>
  <si>
    <t>approche chambre basse</t>
  </si>
  <si>
    <t>approche bicamérale</t>
  </si>
  <si>
    <t>Droite</t>
  </si>
  <si>
    <t>Centristes</t>
  </si>
  <si>
    <t>Gauche</t>
  </si>
  <si>
    <r>
      <rPr>
        <b/>
        <sz val="12"/>
        <color theme="1" tint="0.34998626667073579"/>
        <rFont val="Calibri"/>
        <family val="2"/>
        <scheme val="minor"/>
      </rPr>
      <t>NB :</t>
    </r>
    <r>
      <rPr>
        <sz val="12"/>
        <color theme="1" tint="0.34998626667073579"/>
        <rFont val="Calibri"/>
        <family val="2"/>
        <scheme val="minor"/>
      </rPr>
      <t xml:space="preserve"> par sensibilité politique, les rapports de force sont similaires entre les approches bicamérale et uniquement chambre basse</t>
    </r>
  </si>
  <si>
    <r>
      <t xml:space="preserve">11 ou 10 </t>
    </r>
    <r>
      <rPr>
        <i/>
        <sz val="12"/>
        <color theme="1" tint="0.34998626667073579"/>
        <rFont val="Calibri"/>
        <family val="2"/>
        <scheme val="minor"/>
      </rPr>
      <t>(SER)</t>
    </r>
  </si>
  <si>
    <r>
      <t xml:space="preserve">10 ou 8 </t>
    </r>
    <r>
      <rPr>
        <i/>
        <sz val="12"/>
        <color theme="1" tint="0.34998626667073579"/>
        <rFont val="Calibri"/>
        <family val="2"/>
        <scheme val="minor"/>
      </rPr>
      <t>(+ Groupe socialiste et républicain)</t>
    </r>
  </si>
  <si>
    <r>
      <t xml:space="preserve">8 ou 7 </t>
    </r>
    <r>
      <rPr>
        <i/>
        <sz val="12"/>
        <color theme="1" tint="0.34998626667073579"/>
        <rFont val="Calibri"/>
        <family val="2"/>
        <scheme val="minor"/>
      </rPr>
      <t>(LR)</t>
    </r>
  </si>
  <si>
    <r>
      <t xml:space="preserve">9 ou 7 </t>
    </r>
    <r>
      <rPr>
        <i/>
        <sz val="12"/>
        <color theme="1" tint="0.34998626667073579"/>
        <rFont val="Calibri"/>
        <family val="2"/>
        <scheme val="minor"/>
      </rPr>
      <t>(+ groupe LR)</t>
    </r>
  </si>
  <si>
    <r>
      <t>1</t>
    </r>
    <r>
      <rPr>
        <i/>
        <sz val="12"/>
        <color theme="1" tint="0.34998626667073579"/>
        <rFont val="Calibri"/>
        <family val="2"/>
        <scheme val="minor"/>
      </rPr>
      <t xml:space="preserve"> (UDI)</t>
    </r>
  </si>
  <si>
    <r>
      <t xml:space="preserve">1 ou 2 </t>
    </r>
    <r>
      <rPr>
        <i/>
        <sz val="12"/>
        <color theme="1" tint="0.34998626667073579"/>
        <rFont val="Calibri"/>
        <family val="2"/>
        <scheme val="minor"/>
      </rPr>
      <t>(+groupe UDI-UC)</t>
    </r>
  </si>
  <si>
    <r>
      <t xml:space="preserve">0 ou 1 </t>
    </r>
    <r>
      <rPr>
        <i/>
        <sz val="12"/>
        <color theme="1" tint="0.34998626667073579"/>
        <rFont val="Calibri"/>
        <family val="2"/>
        <scheme val="minor"/>
      </rPr>
      <t>(RRDP)</t>
    </r>
  </si>
  <si>
    <r>
      <t xml:space="preserve">0 ou 2 </t>
    </r>
    <r>
      <rPr>
        <i/>
        <sz val="12"/>
        <color theme="1" tint="0.34998626667073579"/>
        <rFont val="Calibri"/>
        <family val="2"/>
        <scheme val="minor"/>
      </rPr>
      <t>(+ RDSE)</t>
    </r>
  </si>
  <si>
    <r>
      <t xml:space="preserve">0 ou 1 </t>
    </r>
    <r>
      <rPr>
        <i/>
        <sz val="12"/>
        <color theme="1" tint="0.34998626667073579"/>
        <rFont val="Calibri"/>
        <family val="2"/>
        <scheme val="minor"/>
      </rPr>
      <t>(GDR)</t>
    </r>
  </si>
  <si>
    <r>
      <t xml:space="preserve">0 ou 1 </t>
    </r>
    <r>
      <rPr>
        <i/>
        <sz val="12"/>
        <color theme="1" tint="0.34998626667073579"/>
        <rFont val="Calibri"/>
        <family val="2"/>
        <scheme val="minor"/>
      </rPr>
      <t>(groupe communiste, républicain et citoyen)</t>
    </r>
  </si>
  <si>
    <r>
      <t>Lettonie (1 siège)</t>
    </r>
    <r>
      <rPr>
        <sz val="12"/>
        <color theme="1"/>
        <rFont val="Calibri"/>
        <family val="2"/>
        <scheme val="minor"/>
      </rPr>
      <t xml:space="preserve"> - système monocaméral</t>
    </r>
  </si>
  <si>
    <r>
      <t xml:space="preserve">Lituanie (1 siège) </t>
    </r>
    <r>
      <rPr>
        <sz val="12"/>
        <color theme="1"/>
        <rFont val="Calibri"/>
        <family val="2"/>
        <scheme val="minor"/>
      </rPr>
      <t xml:space="preserve"> - système monocaméral</t>
    </r>
  </si>
  <si>
    <r>
      <t xml:space="preserve">Luxembourg (1 siège) </t>
    </r>
    <r>
      <rPr>
        <sz val="12"/>
        <color theme="1"/>
        <rFont val="Calibri"/>
        <family val="2"/>
        <scheme val="minor"/>
      </rPr>
      <t xml:space="preserve"> - système monocaméral</t>
    </r>
  </si>
  <si>
    <r>
      <t xml:space="preserve">Malte (1 siège) </t>
    </r>
    <r>
      <rPr>
        <sz val="12"/>
        <color theme="1"/>
        <rFont val="Calibri"/>
        <family val="2"/>
        <scheme val="minor"/>
      </rPr>
      <t>- système monocaméral</t>
    </r>
  </si>
  <si>
    <r>
      <t>Portugal (3 sièges)</t>
    </r>
    <r>
      <rPr>
        <sz val="12"/>
        <color theme="1"/>
        <rFont val="Calibri"/>
        <family val="2"/>
        <scheme val="minor"/>
      </rPr>
      <t xml:space="preserve">  - système monocaméral</t>
    </r>
  </si>
  <si>
    <r>
      <t xml:space="preserve">Slovaquie (2 sièges)  </t>
    </r>
    <r>
      <rPr>
        <sz val="12"/>
        <color theme="1"/>
        <rFont val="Calibri"/>
        <family val="2"/>
        <scheme val="minor"/>
      </rPr>
      <t>- système monocaméral</t>
    </r>
  </si>
  <si>
    <r>
      <t xml:space="preserve">Slovénie (1 siège)  </t>
    </r>
    <r>
      <rPr>
        <sz val="12"/>
        <color theme="1"/>
        <rFont val="Calibri"/>
        <family val="2"/>
        <scheme val="minor"/>
      </rPr>
      <t>- système spécifique de la chambre haute</t>
    </r>
  </si>
  <si>
    <t>Onglet</t>
  </si>
  <si>
    <t>Contenu</t>
  </si>
  <si>
    <t>Infos zone€</t>
  </si>
  <si>
    <t>Informations générales sur chaque pays membre (population, PIB) et nombre de sièges par Etats</t>
  </si>
  <si>
    <t>Parlements nationaux</t>
  </si>
  <si>
    <t>Composition des Parlements nationaux (chambres basse et haute)</t>
  </si>
  <si>
    <t>Répartition des sièges par groupe politique, à la proportionnelle</t>
  </si>
  <si>
    <t>a)Plus forte moyenne</t>
  </si>
  <si>
    <t>Application de la méthode de répartition proportionnelle d'Hondt</t>
  </si>
  <si>
    <t>b)Plus fort reste</t>
  </si>
  <si>
    <t>Application de la méthode de répartition proportionnelle du plus fort reste</t>
  </si>
  <si>
    <t>En prenant en compte les deux chambres (en cas de système bicaméral)</t>
  </si>
  <si>
    <t>Résumé des sièges</t>
  </si>
  <si>
    <t>Récapitulatif de la répartition des sièges entre Etats et groupes parlementaires</t>
  </si>
  <si>
    <t>et comparatif des les différentes méthodes utilisées</t>
  </si>
  <si>
    <t>Détail des calculs</t>
  </si>
  <si>
    <t>c)Plus forte moyenne</t>
  </si>
  <si>
    <t>d)Plus fort reste</t>
  </si>
  <si>
    <r>
      <t>PROPORTIONNELLE AU PLUS FORT RESTE</t>
    </r>
    <r>
      <rPr>
        <b/>
        <sz val="12"/>
        <color theme="1"/>
        <rFont val="Calibri"/>
        <family val="2"/>
        <scheme val="minor"/>
      </rPr>
      <t xml:space="preserve"> (prise en compte des deux chambres)</t>
    </r>
  </si>
  <si>
    <r>
      <t>PROPORTIONNELLE À LA PLUS FORTE MOYENNE</t>
    </r>
    <r>
      <rPr>
        <b/>
        <sz val="12"/>
        <color theme="1"/>
        <rFont val="Calibri"/>
        <family val="2"/>
        <scheme val="minor"/>
      </rPr>
      <t xml:space="preserve"> (prise en compte des deux chambres)</t>
    </r>
  </si>
  <si>
    <t>(centre, conservatisme social)</t>
  </si>
  <si>
    <t>Social-démocrate</t>
  </si>
  <si>
    <t>Gauche, communisme, anticapitalisme</t>
  </si>
  <si>
    <t>Ecologie politique</t>
  </si>
  <si>
    <t>Extrême droite</t>
  </si>
  <si>
    <t>Centrisme, fédéralisme</t>
  </si>
  <si>
    <t>Droite et droite nationaliste</t>
  </si>
  <si>
    <t>Démocrates et progressistes (scission du PD, centre gauche)</t>
  </si>
  <si>
    <t>MDP</t>
  </si>
  <si>
    <t>Cas de la répartition proportionnelle par la méthode de la plus forte moyenne, à partir de la chambre basse</t>
  </si>
  <si>
    <t>Centre</t>
  </si>
  <si>
    <t>Centre gauche</t>
  </si>
  <si>
    <t>Ecologie</t>
  </si>
  <si>
    <t>Autre</t>
  </si>
  <si>
    <t>Ligne politique</t>
  </si>
  <si>
    <t>%</t>
  </si>
  <si>
    <t>Groupe européen ou parti**</t>
  </si>
  <si>
    <t>MPD** (Italie)</t>
  </si>
  <si>
    <t>Union lituanienne agraire et des verts **</t>
  </si>
  <si>
    <t>SP** (Pays Bas)</t>
  </si>
  <si>
    <t>Gauche eurosceptique</t>
  </si>
  <si>
    <t>Extrême droite, eurosceptique</t>
  </si>
  <si>
    <t>http://www.europarl.europa.eu/meps/fr/hemicycle.html</t>
  </si>
  <si>
    <t>Composition du Parlement Européen</t>
  </si>
  <si>
    <t>Par groupe politique</t>
  </si>
  <si>
    <t>Groupes</t>
  </si>
  <si>
    <t>Groupe du Parti populaire européen (Démocrates-Chrétiens)</t>
  </si>
  <si>
    <t>ECR</t>
  </si>
  <si>
    <t>Groupe des Conservateurs et Réformistes européens</t>
  </si>
  <si>
    <t>Groupe de l'Alliance Progressiste des Socialistes et Démocrates du Parlement européen</t>
  </si>
  <si>
    <t>Groupe Alliance des démocrates et des libéraux pour l'Europe</t>
  </si>
  <si>
    <t>Groupe confédéral de la Gauche unitaire européenne/Gauche verte nordique</t>
  </si>
  <si>
    <t>Groupe des Verts/Alliance libre européenne</t>
  </si>
  <si>
    <t>Groupe Europe de la liberté et de la démocratie directe</t>
  </si>
  <si>
    <t>EFDD</t>
  </si>
  <si>
    <t>ENF</t>
  </si>
  <si>
    <t>Groupe Europe des Nations et des Libertés</t>
  </si>
  <si>
    <t>CRE (ou ECR)</t>
  </si>
  <si>
    <t>ENL (ou ENF)</t>
  </si>
  <si>
    <t>ELDD (ou EFDD)</t>
  </si>
  <si>
    <t>ADLE (ou ALDE)</t>
  </si>
  <si>
    <t>Parlement européen</t>
  </si>
  <si>
    <t>Composition du Parlement européen par groupe politique</t>
  </si>
  <si>
    <t>Récap</t>
  </si>
  <si>
    <t>Simulation de la composition d'une assemblée de la zone euro par groupe politique</t>
  </si>
  <si>
    <t xml:space="preserve">sous l'hypothèse d'une répartition proportionnelle à la plus forte moyenne </t>
  </si>
  <si>
    <t>prenant pour référence les chambres basses nationales</t>
  </si>
  <si>
    <t>Nombre total de membres de l'Assemblée</t>
  </si>
  <si>
    <t>Représentants du Parlement européen</t>
  </si>
  <si>
    <t>(prorata de la population sur une base de 100 sièges, avec ajout d'un siège minimum pour les petits pays, d'où une assemblée de 105 sièges)</t>
  </si>
  <si>
    <r>
      <t>(Eurostat, estimations au 1</t>
    </r>
    <r>
      <rPr>
        <i/>
        <vertAlign val="superscript"/>
        <sz val="10"/>
        <color theme="1"/>
        <rFont val="Arial"/>
        <family val="2"/>
      </rPr>
      <t>er</t>
    </r>
    <r>
      <rPr>
        <i/>
        <sz val="10"/>
        <color theme="1"/>
        <rFont val="Arial"/>
        <family val="2"/>
      </rPr>
      <t xml:space="preserve"> janvier 2016)</t>
    </r>
  </si>
  <si>
    <t xml:space="preserve">Nombre de sièges dans l'Assemblée de la zone euro  </t>
  </si>
  <si>
    <t>Population          (% zone euro)</t>
  </si>
  <si>
    <t>Population (millions)</t>
  </si>
  <si>
    <t>(nombres de sièges multipliés par trois par comparaison à la version resserrée)</t>
  </si>
  <si>
    <t xml:space="preserve">Nombre de sièges dans l'Assemblée de la zone euro </t>
  </si>
  <si>
    <t>Autres (M5S,..)</t>
  </si>
  <si>
    <t>Gauche radicale (Die Linke, Podemos, Syriza, etc.)</t>
  </si>
  <si>
    <t>Gauche (SPD, Grünen, PS, PD, PSOE, etc.)</t>
  </si>
  <si>
    <t>Droite (CDU, LR, PP, etc.)</t>
  </si>
  <si>
    <t>(prorata de la population sur une base de 100 sièges, avec ajout d'un siège minimum pour les petits pays)</t>
  </si>
  <si>
    <t>Répartition des sièges au prorata des groupes politiques présents dans les parlements nationaux (plus forte moyenne) (février 2017)</t>
  </si>
  <si>
    <t>Nombre de sièges dans l'Assemblée de la zone euro</t>
  </si>
  <si>
    <t>Autres pays</t>
  </si>
  <si>
    <t>France-Italie-Espagne</t>
  </si>
  <si>
    <t>dont: Allemagne</t>
  </si>
  <si>
    <t>(2015, SEC 2010, 
prix de marché) (Eurostat, dernière mise à jour 21/02/2017)</t>
  </si>
  <si>
    <t>(Eurostat, estimations au 1e janvier 2016)</t>
  </si>
  <si>
    <t>PIB                          (% zone euro)</t>
  </si>
  <si>
    <t>PIB               (milliards euros)</t>
  </si>
  <si>
    <t>Paris le 8 mars 2017</t>
  </si>
  <si>
    <t>Manon Bouju et Thomas Piketty</t>
  </si>
  <si>
    <t>ASSEMBLÉE PARLEMENTAIRE DE LA ZONE EURO: SIMULATIONS</t>
  </si>
  <si>
    <t>Tableaux récapitulatifs</t>
  </si>
  <si>
    <t>Tableau 0. Assemblée de la zone euro:                                                 répartition des sièges entre pays</t>
  </si>
  <si>
    <t>Version 2: Assemblée        élargie</t>
  </si>
  <si>
    <t xml:space="preserve">Tableau 1. Assemblée de la zone euro:                                                 répartition des sièges entre pays </t>
  </si>
  <si>
    <r>
      <t xml:space="preserve">Tableau 2. Assemblée de la zone euro:                                                                    répartition des sièges entre groupes politiques                        </t>
    </r>
    <r>
      <rPr>
        <sz val="18"/>
        <color theme="1"/>
        <rFont val="Arial"/>
        <family val="2"/>
      </rPr>
      <t>(membres issus des Parlements nationaux)</t>
    </r>
  </si>
  <si>
    <t>Tableau 3. Zone euro:                                                                    répartition de la population vs. répartition du PIB</t>
  </si>
  <si>
    <t>T0, T1, T2, T3</t>
  </si>
  <si>
    <t>Note: La répartition indiquée ici prend uniquement en compte les Chambres basses (Bundestag, Assemblée nationale, etc.). Les résultats prenant également en compte les Chambres hautes (Bundesrat, Sénat, etc.) ne varieraient qu'à un ou deux sièges près par pays (voir onglet "Résumé des sièges")</t>
  </si>
  <si>
    <t xml:space="preserve">Version 1: Assemblée   resserrée </t>
  </si>
  <si>
    <t>Table 0. Assembly of the Euro Area :                                                 allocation of seats between countries</t>
  </si>
  <si>
    <t>Number of seats of the Assembly of the Euro Area</t>
  </si>
  <si>
    <t xml:space="preserve">(Eurostat, estimates as of January 1st 2016) </t>
  </si>
  <si>
    <t>(in proportion to population on the basis of 100 seats, with the addition of at least one seat for the smallest countries, hence a total of 105 seats)</t>
  </si>
  <si>
    <t>Germany</t>
  </si>
  <si>
    <t>Italy</t>
  </si>
  <si>
    <t>Spain</t>
  </si>
  <si>
    <t>Netherlands</t>
  </si>
  <si>
    <t>Belgium</t>
  </si>
  <si>
    <t>Greece</t>
  </si>
  <si>
    <t>Austria</t>
  </si>
  <si>
    <t>Finland</t>
  </si>
  <si>
    <t>Slovakia</t>
  </si>
  <si>
    <t>Irland</t>
  </si>
  <si>
    <t>Lithuania</t>
  </si>
  <si>
    <t>Slovenia</t>
  </si>
  <si>
    <t>Lettonia</t>
  </si>
  <si>
    <t>Estonia</t>
  </si>
  <si>
    <t>Cyprus</t>
  </si>
  <si>
    <t>Malta</t>
  </si>
  <si>
    <t>Representatives of the European Parliament</t>
  </si>
  <si>
    <t xml:space="preserve">Total number of seats in the Assembly </t>
  </si>
  <si>
    <t>Population          (% Euro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</si>
</sst>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quot;Attribution des sièges restants (&quot;General&quot;)&quot;"/>
    <numFmt numFmtId="166" formatCode="&quot;Reste à attribuer =&quot;\ General"/>
    <numFmt numFmtId="167" formatCode="&quot;Total attribué =&quot;\ General"/>
    <numFmt numFmtId="168" formatCode="0.0%"/>
  </numFmts>
  <fonts count="52" x14ac:knownFonts="1">
    <font>
      <sz val="12"/>
      <color theme="1"/>
      <name val="Calibri"/>
      <family val="2"/>
      <scheme val="minor"/>
    </font>
    <font>
      <sz val="11"/>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i/>
      <sz val="12"/>
      <color theme="1"/>
      <name val="Calibri"/>
      <family val="2"/>
      <scheme val="minor"/>
    </font>
    <font>
      <b/>
      <i/>
      <sz val="12"/>
      <color theme="1"/>
      <name val="Calibri"/>
      <family val="2"/>
      <scheme val="minor"/>
    </font>
    <font>
      <u/>
      <sz val="12"/>
      <color theme="10"/>
      <name val="Calibri"/>
      <family val="2"/>
      <scheme val="minor"/>
    </font>
    <font>
      <u/>
      <sz val="12"/>
      <color theme="11"/>
      <name val="Calibri"/>
      <family val="2"/>
      <scheme val="minor"/>
    </font>
    <font>
      <i/>
      <sz val="12"/>
      <color rgb="FFFF00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i/>
      <sz val="11"/>
      <color theme="1"/>
      <name val="Calibri"/>
      <family val="2"/>
      <scheme val="minor"/>
    </font>
    <font>
      <b/>
      <sz val="10"/>
      <color theme="1"/>
      <name val="Calibri"/>
      <family val="2"/>
      <scheme val="minor"/>
    </font>
    <font>
      <i/>
      <sz val="10"/>
      <color theme="1"/>
      <name val="Calibri"/>
      <family val="2"/>
      <scheme val="minor"/>
    </font>
    <font>
      <sz val="12"/>
      <name val="Calibri"/>
      <family val="2"/>
      <scheme val="minor"/>
    </font>
    <font>
      <b/>
      <sz val="12"/>
      <color rgb="FFFF0000"/>
      <name val="Calibri"/>
      <family val="2"/>
      <scheme val="minor"/>
    </font>
    <font>
      <i/>
      <sz val="12"/>
      <color theme="1"/>
      <name val="Calibri"/>
      <family val="2"/>
      <scheme val="minor"/>
    </font>
    <font>
      <i/>
      <sz val="12"/>
      <color theme="0" tint="-0.34998626667073579"/>
      <name val="Calibri"/>
      <family val="2"/>
      <scheme val="minor"/>
    </font>
    <font>
      <i/>
      <sz val="12"/>
      <color rgb="FFFF0000"/>
      <name val="Calibri"/>
      <family val="2"/>
      <scheme val="minor"/>
    </font>
    <font>
      <sz val="11"/>
      <color rgb="FF000000"/>
      <name val="Calibri"/>
      <family val="2"/>
      <scheme val="minor"/>
    </font>
    <font>
      <b/>
      <sz val="12"/>
      <name val="Calibri"/>
      <family val="2"/>
      <scheme val="minor"/>
    </font>
    <font>
      <sz val="8"/>
      <name val="Calibri"/>
      <family val="2"/>
      <scheme val="minor"/>
    </font>
    <font>
      <sz val="12"/>
      <color rgb="FF0000FF"/>
      <name val="Calibri"/>
      <family val="2"/>
      <scheme val="minor"/>
    </font>
    <font>
      <sz val="12"/>
      <color rgb="FF008000"/>
      <name val="Calibri"/>
      <family val="2"/>
      <scheme val="minor"/>
    </font>
    <font>
      <sz val="12"/>
      <color theme="5" tint="0.59999389629810485"/>
      <name val="Calibri"/>
      <family val="2"/>
      <scheme val="minor"/>
    </font>
    <font>
      <sz val="11"/>
      <color rgb="FF008000"/>
      <name val="Calibri"/>
      <family val="2"/>
      <scheme val="minor"/>
    </font>
    <font>
      <sz val="12"/>
      <color theme="0" tint="-0.499984740745262"/>
      <name val="Calibri"/>
      <family val="2"/>
      <scheme val="minor"/>
    </font>
    <font>
      <sz val="12"/>
      <color theme="1" tint="0.34998626667073579"/>
      <name val="Calibri"/>
      <family val="2"/>
      <scheme val="minor"/>
    </font>
    <font>
      <b/>
      <sz val="12"/>
      <color theme="1" tint="0.34998626667073579"/>
      <name val="Calibri"/>
      <family val="2"/>
      <scheme val="minor"/>
    </font>
    <font>
      <i/>
      <sz val="12"/>
      <color theme="1" tint="0.34998626667073579"/>
      <name val="Calibri"/>
      <family val="2"/>
      <scheme val="minor"/>
    </font>
    <font>
      <sz val="18"/>
      <color theme="1"/>
      <name val="Calibri"/>
      <family val="2"/>
      <scheme val="minor"/>
    </font>
    <font>
      <sz val="12"/>
      <color theme="0" tint="-0.34998626667073579"/>
      <name val="Calibri"/>
      <family val="2"/>
      <scheme val="minor"/>
    </font>
    <font>
      <b/>
      <i/>
      <sz val="12"/>
      <color theme="1" tint="0.249977111117893"/>
      <name val="Calibri"/>
      <family val="2"/>
      <scheme val="minor"/>
    </font>
    <font>
      <sz val="12"/>
      <color theme="0"/>
      <name val="Calibri"/>
      <family val="2"/>
      <scheme val="minor"/>
    </font>
    <font>
      <b/>
      <sz val="18"/>
      <color rgb="FF000000"/>
      <name val="Calibri"/>
      <family val="2"/>
      <scheme val="minor"/>
    </font>
    <font>
      <sz val="10"/>
      <color theme="0"/>
      <name val="Calibri"/>
      <family val="2"/>
      <scheme val="minor"/>
    </font>
    <font>
      <b/>
      <i/>
      <sz val="12"/>
      <color theme="1"/>
      <name val="Calibri"/>
      <family val="2"/>
      <scheme val="minor"/>
    </font>
    <font>
      <b/>
      <sz val="14"/>
      <name val="Arial"/>
      <family val="2"/>
    </font>
    <font>
      <sz val="14"/>
      <name val="Arial"/>
      <family val="2"/>
    </font>
    <font>
      <sz val="14"/>
      <color theme="1"/>
      <name val="Arial"/>
      <family val="2"/>
    </font>
    <font>
      <i/>
      <sz val="10"/>
      <color theme="1"/>
      <name val="Arial"/>
      <family val="2"/>
    </font>
    <font>
      <i/>
      <vertAlign val="superscript"/>
      <sz val="10"/>
      <color theme="1"/>
      <name val="Arial"/>
      <family val="2"/>
    </font>
    <font>
      <b/>
      <sz val="14"/>
      <color theme="1"/>
      <name val="Arial"/>
      <family val="2"/>
    </font>
    <font>
      <b/>
      <sz val="18"/>
      <color theme="1"/>
      <name val="Arial"/>
      <family val="2"/>
    </font>
    <font>
      <i/>
      <sz val="14"/>
      <color theme="1"/>
      <name val="Arial"/>
      <family val="2"/>
    </font>
    <font>
      <sz val="18"/>
      <color theme="1"/>
      <name val="Arial"/>
      <family val="2"/>
    </font>
    <font>
      <sz val="12"/>
      <color rgb="FFFF0000"/>
      <name val="Calibri"/>
      <family val="2"/>
      <scheme val="minor"/>
    </font>
    <font>
      <b/>
      <sz val="12"/>
      <color theme="1"/>
      <name val="Arial"/>
      <family val="2"/>
    </font>
  </fonts>
  <fills count="15">
    <fill>
      <patternFill patternType="none"/>
    </fill>
    <fill>
      <patternFill patternType="gray125"/>
    </fill>
    <fill>
      <patternFill patternType="solid">
        <fgColor theme="0" tint="-0.14999847407452621"/>
        <bgColor indexed="64"/>
      </patternFill>
    </fill>
    <fill>
      <patternFill patternType="solid">
        <fgColor theme="0" tint="-0.14999847407452621"/>
        <bgColor theme="0" tint="-0.14999847407452621"/>
      </patternFill>
    </fill>
    <fill>
      <patternFill patternType="solid">
        <fgColor theme="1" tint="0.499984740745262"/>
        <bgColor indexed="64"/>
      </patternFill>
    </fill>
    <fill>
      <patternFill patternType="solid">
        <fgColor theme="4" tint="0.79998168889431442"/>
        <bgColor indexed="64"/>
      </patternFill>
    </fill>
    <fill>
      <patternFill patternType="gray0625"/>
    </fill>
    <fill>
      <patternFill patternType="gray0625">
        <bgColor theme="0" tint="-0.14999847407452621"/>
      </patternFill>
    </fill>
    <fill>
      <patternFill patternType="gray0625">
        <bgColor theme="0" tint="-0.14996795556505021"/>
      </patternFill>
    </fill>
    <fill>
      <patternFill patternType="solid">
        <fgColor theme="7" tint="0.79998168889431442"/>
        <bgColor indexed="64"/>
      </patternFill>
    </fill>
    <fill>
      <patternFill patternType="solid">
        <fgColor theme="6" tint="0.79998168889431442"/>
        <bgColor indexed="64"/>
      </patternFill>
    </fill>
    <fill>
      <patternFill patternType="solid">
        <fgColor rgb="FFDCE6F1"/>
        <bgColor rgb="FF000000"/>
      </patternFill>
    </fill>
    <fill>
      <patternFill patternType="solid">
        <fgColor theme="0" tint="-4.9989318521683403E-2"/>
        <bgColor indexed="64"/>
      </patternFill>
    </fill>
    <fill>
      <patternFill patternType="solid">
        <fgColor theme="0"/>
        <bgColor indexed="64"/>
      </patternFill>
    </fill>
    <fill>
      <patternFill patternType="solid">
        <fgColor theme="0"/>
        <bgColor theme="0" tint="-0.14999847407452621"/>
      </patternFill>
    </fill>
  </fills>
  <borders count="30">
    <border>
      <left/>
      <right/>
      <top/>
      <bottom/>
      <diagonal/>
    </border>
    <border>
      <left/>
      <right/>
      <top style="medium">
        <color auto="1"/>
      </top>
      <bottom style="thin">
        <color auto="1"/>
      </bottom>
      <diagonal/>
    </border>
    <border>
      <left/>
      <right/>
      <top style="thin">
        <color theme="1"/>
      </top>
      <bottom style="thin">
        <color theme="1"/>
      </bottom>
      <diagonal/>
    </border>
    <border>
      <left/>
      <right/>
      <top/>
      <bottom style="thin">
        <color theme="1"/>
      </bottom>
      <diagonal/>
    </border>
    <border>
      <left/>
      <right/>
      <top style="thin">
        <color theme="1"/>
      </top>
      <bottom/>
      <diagonal/>
    </border>
    <border>
      <left/>
      <right/>
      <top/>
      <bottom style="thin">
        <color auto="1"/>
      </bottom>
      <diagonal/>
    </border>
    <border>
      <left/>
      <right/>
      <top style="thin">
        <color auto="1"/>
      </top>
      <bottom/>
      <diagonal/>
    </border>
    <border>
      <left style="thin">
        <color auto="1"/>
      </left>
      <right/>
      <top style="thin">
        <color theme="1"/>
      </top>
      <bottom/>
      <diagonal/>
    </border>
    <border>
      <left style="thin">
        <color auto="1"/>
      </left>
      <right/>
      <top style="thin">
        <color theme="1"/>
      </top>
      <bottom style="thin">
        <color theme="1"/>
      </bottom>
      <diagonal/>
    </border>
    <border>
      <left style="thin">
        <color auto="1"/>
      </left>
      <right/>
      <top/>
      <bottom/>
      <diagonal/>
    </border>
    <border>
      <left style="thin">
        <color auto="1"/>
      </left>
      <right/>
      <top/>
      <bottom style="thin">
        <color auto="1"/>
      </bottom>
      <diagonal/>
    </border>
    <border>
      <left/>
      <right style="thin">
        <color auto="1"/>
      </right>
      <top style="thin">
        <color theme="1"/>
      </top>
      <bottom style="thin">
        <color theme="1"/>
      </bottom>
      <diagonal/>
    </border>
    <border>
      <left/>
      <right/>
      <top/>
      <bottom style="medium">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bottom/>
      <diagonal/>
    </border>
    <border>
      <left/>
      <right style="thin">
        <color auto="1"/>
      </right>
      <top style="thin">
        <color auto="1"/>
      </top>
      <bottom style="thin">
        <color auto="1"/>
      </bottom>
      <diagonal/>
    </border>
    <border>
      <left/>
      <right style="thin">
        <color auto="1"/>
      </right>
      <top style="medium">
        <color auto="1"/>
      </top>
      <bottom style="thin">
        <color auto="1"/>
      </bottom>
      <diagonal/>
    </border>
    <border>
      <left/>
      <right style="thin">
        <color auto="1"/>
      </right>
      <top style="medium">
        <color auto="1"/>
      </top>
      <bottom/>
      <diagonal/>
    </border>
    <border>
      <left/>
      <right style="thin">
        <color theme="1"/>
      </right>
      <top style="thin">
        <color theme="1"/>
      </top>
      <bottom style="thin">
        <color theme="1"/>
      </bottom>
      <diagonal/>
    </border>
    <border>
      <left/>
      <right style="thin">
        <color theme="1"/>
      </right>
      <top/>
      <bottom/>
      <diagonal/>
    </border>
    <border>
      <left style="thin">
        <color auto="1"/>
      </left>
      <right style="thin">
        <color auto="1"/>
      </right>
      <top/>
      <bottom style="thin">
        <color auto="1"/>
      </bottom>
      <diagonal/>
    </border>
    <border>
      <left/>
      <right/>
      <top style="medium">
        <color auto="1"/>
      </top>
      <bottom/>
      <diagonal/>
    </border>
    <border>
      <left style="thin">
        <color auto="1"/>
      </left>
      <right style="thin">
        <color auto="1"/>
      </right>
      <top/>
      <bottom/>
      <diagonal/>
    </border>
    <border>
      <left/>
      <right/>
      <top/>
      <bottom style="thin">
        <color theme="0" tint="-0.34998626667073579"/>
      </bottom>
      <diagonal/>
    </border>
    <border>
      <left/>
      <right style="thin">
        <color auto="1"/>
      </right>
      <top/>
      <bottom style="thin">
        <color theme="0" tint="-0.34998626667073579"/>
      </bottom>
      <diagonal/>
    </border>
    <border>
      <left/>
      <right/>
      <top style="thin">
        <color theme="0" tint="-0.34998626667073579"/>
      </top>
      <bottom style="thin">
        <color theme="0" tint="-0.34998626667073579"/>
      </bottom>
      <diagonal/>
    </border>
    <border>
      <left/>
      <right style="thin">
        <color auto="1"/>
      </right>
      <top style="thin">
        <color theme="0" tint="-0.34998626667073579"/>
      </top>
      <bottom style="thin">
        <color theme="0" tint="-0.34998626667073579"/>
      </bottom>
      <diagonal/>
    </border>
    <border>
      <left style="double">
        <color theme="0" tint="-0.34998626667073579"/>
      </left>
      <right/>
      <top/>
      <bottom/>
      <diagonal/>
    </border>
    <border>
      <left/>
      <right style="dashed">
        <color theme="1" tint="0.249977111117893"/>
      </right>
      <top/>
      <bottom/>
      <diagonal/>
    </border>
  </borders>
  <cellStyleXfs count="317">
    <xf numFmtId="0" fontId="0" fillId="0" borderId="0"/>
    <xf numFmtId="9" fontId="2"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419">
    <xf numFmtId="0" fontId="0" fillId="0" borderId="0" xfId="0"/>
    <xf numFmtId="0" fontId="5" fillId="0" borderId="0" xfId="0" applyFont="1"/>
    <xf numFmtId="0" fontId="6" fillId="0" borderId="0" xfId="0" applyFont="1"/>
    <xf numFmtId="0" fontId="7" fillId="0" borderId="0" xfId="2"/>
    <xf numFmtId="0" fontId="0" fillId="3" borderId="0" xfId="0" applyFont="1" applyFill="1" applyAlignment="1">
      <alignment vertical="center" wrapText="1"/>
    </xf>
    <xf numFmtId="0" fontId="3" fillId="4" borderId="3" xfId="0" applyFont="1" applyFill="1" applyBorder="1" applyAlignment="1">
      <alignment vertical="center" wrapText="1"/>
    </xf>
    <xf numFmtId="0" fontId="3" fillId="4" borderId="3" xfId="0" applyFont="1" applyFill="1" applyBorder="1" applyAlignment="1">
      <alignment horizontal="center" vertical="center" wrapText="1"/>
    </xf>
    <xf numFmtId="9" fontId="3" fillId="4" borderId="3" xfId="0" applyNumberFormat="1" applyFont="1" applyFill="1" applyBorder="1" applyAlignment="1">
      <alignment horizontal="center" vertical="center" wrapText="1"/>
    </xf>
    <xf numFmtId="0" fontId="0" fillId="0" borderId="0" xfId="0" applyAlignment="1">
      <alignment horizontal="center" vertical="center"/>
    </xf>
    <xf numFmtId="0" fontId="0" fillId="2" borderId="0" xfId="0" applyFont="1" applyFill="1" applyAlignment="1">
      <alignment vertical="center" wrapText="1"/>
    </xf>
    <xf numFmtId="0" fontId="0" fillId="2" borderId="0" xfId="0" applyFont="1" applyFill="1" applyAlignment="1">
      <alignment horizontal="center" vertical="center" wrapText="1"/>
    </xf>
    <xf numFmtId="0" fontId="0" fillId="2" borderId="0" xfId="0" applyFill="1"/>
    <xf numFmtId="0" fontId="0" fillId="0" borderId="0" xfId="0" applyFill="1"/>
    <xf numFmtId="0" fontId="0" fillId="0" borderId="0" xfId="0" applyFont="1" applyFill="1" applyAlignment="1">
      <alignment horizontal="center" vertical="center" wrapText="1"/>
    </xf>
    <xf numFmtId="0" fontId="9" fillId="0" borderId="0" xfId="0" applyFont="1"/>
    <xf numFmtId="0" fontId="4" fillId="0" borderId="0" xfId="0" applyFont="1" applyFill="1"/>
    <xf numFmtId="0" fontId="0" fillId="0" borderId="0" xfId="0" applyAlignment="1">
      <alignment horizontal="center"/>
    </xf>
    <xf numFmtId="0" fontId="1" fillId="0" borderId="0" xfId="0" applyFont="1"/>
    <xf numFmtId="17" fontId="15" fillId="0" borderId="1" xfId="0" applyNumberFormat="1" applyFont="1" applyBorder="1"/>
    <xf numFmtId="0" fontId="15" fillId="0" borderId="1" xfId="0" applyFont="1" applyBorder="1"/>
    <xf numFmtId="17" fontId="15" fillId="0" borderId="0" xfId="0" applyNumberFormat="1" applyFont="1"/>
    <xf numFmtId="17" fontId="1" fillId="0" borderId="0" xfId="0" applyNumberFormat="1"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wrapText="1"/>
    </xf>
    <xf numFmtId="9" fontId="1" fillId="0" borderId="0" xfId="1" applyFont="1" applyAlignment="1">
      <alignment horizontal="center" vertical="center" wrapText="1"/>
    </xf>
    <xf numFmtId="0" fontId="1" fillId="0" borderId="0" xfId="0" applyFont="1" applyAlignment="1">
      <alignment horizontal="center" wrapText="1"/>
    </xf>
    <xf numFmtId="0" fontId="10" fillId="4" borderId="0" xfId="0" applyFont="1" applyFill="1" applyAlignment="1">
      <alignment vertical="center" wrapText="1"/>
    </xf>
    <xf numFmtId="0" fontId="10" fillId="4" borderId="0" xfId="0" applyFont="1" applyFill="1" applyAlignment="1">
      <alignment horizontal="center" vertical="center" wrapText="1"/>
    </xf>
    <xf numFmtId="9" fontId="10" fillId="4" borderId="0" xfId="0" applyNumberFormat="1" applyFont="1" applyFill="1" applyAlignment="1">
      <alignment horizontal="center" vertical="center" wrapText="1"/>
    </xf>
    <xf numFmtId="0" fontId="15" fillId="0" borderId="0" xfId="0" applyFont="1"/>
    <xf numFmtId="17" fontId="12" fillId="0" borderId="2" xfId="0" applyNumberFormat="1" applyFont="1" applyBorder="1" applyAlignment="1">
      <alignment horizontal="center" vertical="center"/>
    </xf>
    <xf numFmtId="0" fontId="12" fillId="0" borderId="2" xfId="0" applyFont="1" applyBorder="1" applyAlignment="1">
      <alignment horizontal="center" vertical="center" wrapText="1"/>
    </xf>
    <xf numFmtId="0" fontId="12" fillId="0" borderId="2" xfId="0" applyFont="1" applyBorder="1" applyAlignment="1">
      <alignment horizontal="center" vertical="center"/>
    </xf>
    <xf numFmtId="0" fontId="1" fillId="3" borderId="0" xfId="0" applyFont="1" applyFill="1" applyAlignment="1">
      <alignment vertical="center" wrapText="1"/>
    </xf>
    <xf numFmtId="0" fontId="1" fillId="3" borderId="0" xfId="0" applyFont="1" applyFill="1" applyAlignment="1">
      <alignment horizontal="center" vertical="center" wrapText="1"/>
    </xf>
    <xf numFmtId="9" fontId="1" fillId="3" borderId="0" xfId="1" applyFont="1" applyFill="1" applyAlignment="1">
      <alignment horizontal="center" vertical="center" wrapText="1"/>
    </xf>
    <xf numFmtId="0" fontId="1" fillId="3" borderId="0" xfId="0" applyFont="1" applyFill="1" applyAlignment="1">
      <alignment horizontal="left" vertical="center" wrapText="1"/>
    </xf>
    <xf numFmtId="0" fontId="1" fillId="0" borderId="0" xfId="0" applyFont="1" applyAlignment="1">
      <alignment horizontal="left" vertical="center" wrapText="1"/>
    </xf>
    <xf numFmtId="0" fontId="10" fillId="4" borderId="3" xfId="0" applyFont="1" applyFill="1" applyBorder="1" applyAlignment="1">
      <alignment vertical="center" wrapText="1"/>
    </xf>
    <xf numFmtId="0" fontId="10" fillId="4" borderId="3" xfId="0" applyFont="1" applyFill="1" applyBorder="1" applyAlignment="1">
      <alignment horizontal="center" vertical="center" wrapText="1"/>
    </xf>
    <xf numFmtId="9" fontId="10" fillId="4" borderId="3" xfId="0" applyNumberFormat="1" applyFont="1" applyFill="1" applyBorder="1" applyAlignment="1">
      <alignment horizontal="center" vertical="center" wrapText="1"/>
    </xf>
    <xf numFmtId="9" fontId="10" fillId="4" borderId="3" xfId="1"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0" xfId="0" applyFont="1" applyFill="1" applyAlignment="1">
      <alignment vertical="center" wrapText="1"/>
    </xf>
    <xf numFmtId="9" fontId="1" fillId="2" borderId="0" xfId="1" applyFont="1" applyFill="1" applyAlignment="1">
      <alignment horizontal="center" vertical="center" wrapText="1"/>
    </xf>
    <xf numFmtId="17" fontId="4" fillId="0" borderId="4" xfId="0" applyNumberFormat="1" applyFont="1" applyBorder="1" applyAlignment="1">
      <alignment horizontal="center" vertical="center" wrapText="1"/>
    </xf>
    <xf numFmtId="0" fontId="0" fillId="0" borderId="0" xfId="0" applyBorder="1"/>
    <xf numFmtId="0" fontId="0" fillId="0" borderId="0" xfId="0" applyFont="1" applyBorder="1"/>
    <xf numFmtId="10" fontId="0" fillId="3" borderId="0" xfId="1" applyNumberFormat="1" applyFont="1" applyFill="1" applyAlignment="1">
      <alignment horizontal="center" vertical="center" wrapText="1"/>
    </xf>
    <xf numFmtId="10" fontId="0" fillId="0" borderId="0" xfId="1" applyNumberFormat="1" applyFont="1" applyBorder="1" applyAlignment="1">
      <alignment horizontal="center"/>
    </xf>
    <xf numFmtId="164" fontId="0" fillId="3" borderId="0" xfId="0" applyNumberFormat="1" applyFont="1" applyFill="1" applyAlignment="1">
      <alignment horizontal="center" vertical="center" wrapText="1"/>
    </xf>
    <xf numFmtId="164" fontId="0" fillId="0" borderId="0" xfId="0" applyNumberFormat="1" applyFont="1" applyBorder="1" applyAlignment="1">
      <alignment horizontal="center"/>
    </xf>
    <xf numFmtId="1" fontId="0" fillId="3" borderId="0" xfId="0" applyNumberFormat="1" applyFont="1" applyFill="1" applyAlignment="1">
      <alignment horizontal="center" vertical="center" wrapText="1"/>
    </xf>
    <xf numFmtId="1" fontId="0" fillId="0" borderId="0" xfId="0" applyNumberFormat="1" applyFont="1" applyBorder="1" applyAlignment="1">
      <alignment horizontal="center"/>
    </xf>
    <xf numFmtId="164" fontId="3" fillId="4" borderId="3" xfId="0" applyNumberFormat="1" applyFont="1" applyFill="1" applyBorder="1" applyAlignment="1">
      <alignment horizontal="center" vertical="center" wrapText="1"/>
    </xf>
    <xf numFmtId="0" fontId="3" fillId="4" borderId="3" xfId="0" applyNumberFormat="1" applyFont="1" applyFill="1" applyBorder="1" applyAlignment="1">
      <alignment horizontal="center" vertical="center" wrapText="1"/>
    </xf>
    <xf numFmtId="17" fontId="17" fillId="0" borderId="5" xfId="0" applyNumberFormat="1" applyFont="1" applyBorder="1" applyAlignment="1">
      <alignment horizontal="center" vertical="center" wrapText="1"/>
    </xf>
    <xf numFmtId="0" fontId="0" fillId="0" borderId="5" xfId="0" applyBorder="1"/>
    <xf numFmtId="0" fontId="0" fillId="0" borderId="6" xfId="0" applyBorder="1"/>
    <xf numFmtId="0" fontId="4" fillId="2" borderId="0" xfId="0" applyFont="1" applyFill="1" applyAlignment="1">
      <alignment vertical="center" wrapText="1"/>
    </xf>
    <xf numFmtId="0" fontId="13" fillId="0" borderId="0" xfId="0" applyFont="1" applyAlignment="1">
      <alignment horizontal="left" vertical="center"/>
    </xf>
    <xf numFmtId="1" fontId="0" fillId="0" borderId="0" xfId="0" applyNumberFormat="1"/>
    <xf numFmtId="0" fontId="0" fillId="5" borderId="6" xfId="0" applyFont="1" applyFill="1" applyBorder="1"/>
    <xf numFmtId="0" fontId="0" fillId="0"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5" xfId="0" applyFont="1" applyFill="1" applyBorder="1" applyAlignment="1">
      <alignment vertical="center" wrapText="1"/>
    </xf>
    <xf numFmtId="0" fontId="12" fillId="0" borderId="8" xfId="0" applyFont="1" applyBorder="1" applyAlignment="1">
      <alignment horizontal="center" vertical="center"/>
    </xf>
    <xf numFmtId="0" fontId="0" fillId="2" borderId="0" xfId="0" applyFill="1" applyAlignment="1">
      <alignment horizontal="center" vertical="center"/>
    </xf>
    <xf numFmtId="0" fontId="0" fillId="0" borderId="5" xfId="0" applyBorder="1" applyAlignment="1">
      <alignment horizontal="center" vertical="center"/>
    </xf>
    <xf numFmtId="1" fontId="0" fillId="0" borderId="0" xfId="0" applyNumberFormat="1" applyAlignment="1">
      <alignment horizontal="center"/>
    </xf>
    <xf numFmtId="0" fontId="0" fillId="0" borderId="0" xfId="0" applyFill="1" applyAlignment="1">
      <alignment horizontal="center" vertical="center"/>
    </xf>
    <xf numFmtId="0" fontId="4" fillId="2" borderId="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0" fillId="2" borderId="0" xfId="0" applyFont="1" applyFill="1" applyBorder="1" applyAlignment="1">
      <alignment horizontal="center"/>
    </xf>
    <xf numFmtId="0" fontId="13" fillId="0" borderId="12" xfId="0" applyFont="1" applyBorder="1" applyAlignment="1">
      <alignment horizontal="left" vertical="center"/>
    </xf>
    <xf numFmtId="0" fontId="0" fillId="0" borderId="12" xfId="0" applyBorder="1"/>
    <xf numFmtId="0" fontId="0" fillId="0" borderId="0" xfId="0" applyAlignment="1">
      <alignment horizontal="left"/>
    </xf>
    <xf numFmtId="165" fontId="12" fillId="0" borderId="2" xfId="0" applyNumberFormat="1" applyFont="1" applyBorder="1" applyAlignment="1">
      <alignment horizontal="center" vertical="center" wrapText="1"/>
    </xf>
    <xf numFmtId="165" fontId="12" fillId="0" borderId="11" xfId="0" applyNumberFormat="1" applyFont="1" applyBorder="1" applyAlignment="1">
      <alignment horizontal="center" vertical="center" wrapText="1"/>
    </xf>
    <xf numFmtId="2" fontId="0" fillId="0" borderId="0" xfId="0" applyNumberFormat="1" applyAlignment="1">
      <alignment horizontal="center"/>
    </xf>
    <xf numFmtId="0" fontId="0" fillId="2" borderId="0" xfId="0" applyFill="1" applyAlignment="1">
      <alignment horizontal="center"/>
    </xf>
    <xf numFmtId="2" fontId="0" fillId="2" borderId="0" xfId="0" applyNumberFormat="1" applyFill="1" applyAlignment="1">
      <alignment horizontal="center"/>
    </xf>
    <xf numFmtId="0" fontId="0" fillId="2" borderId="0" xfId="0" applyFill="1" applyAlignment="1">
      <alignment horizontal="left"/>
    </xf>
    <xf numFmtId="0" fontId="0" fillId="2" borderId="5" xfId="0" applyFill="1" applyBorder="1"/>
    <xf numFmtId="0" fontId="19" fillId="2" borderId="0" xfId="0" applyFont="1" applyFill="1" applyAlignment="1">
      <alignment horizontal="center"/>
    </xf>
    <xf numFmtId="0" fontId="19" fillId="0" borderId="0" xfId="0" applyFont="1" applyAlignment="1">
      <alignment horizontal="center"/>
    </xf>
    <xf numFmtId="0" fontId="0" fillId="0" borderId="9" xfId="0" applyBorder="1" applyAlignment="1">
      <alignment horizontal="center"/>
    </xf>
    <xf numFmtId="0" fontId="0" fillId="2" borderId="9" xfId="0" applyFill="1" applyBorder="1" applyAlignment="1">
      <alignment horizontal="center"/>
    </xf>
    <xf numFmtId="0" fontId="0" fillId="2" borderId="5" xfId="0" applyFill="1" applyBorder="1" applyAlignment="1">
      <alignment horizontal="center"/>
    </xf>
    <xf numFmtId="0" fontId="0" fillId="2" borderId="10" xfId="0" applyFill="1" applyBorder="1" applyAlignment="1">
      <alignment horizontal="center"/>
    </xf>
    <xf numFmtId="2" fontId="0" fillId="2" borderId="5" xfId="0" applyNumberFormat="1" applyFill="1" applyBorder="1" applyAlignment="1">
      <alignment horizontal="center"/>
    </xf>
    <xf numFmtId="0" fontId="18" fillId="0" borderId="0" xfId="0" applyFont="1" applyAlignment="1">
      <alignment horizontal="center"/>
    </xf>
    <xf numFmtId="0" fontId="18" fillId="0" borderId="9" xfId="0" applyFont="1" applyBorder="1" applyAlignment="1">
      <alignment horizontal="center"/>
    </xf>
    <xf numFmtId="0" fontId="18" fillId="2" borderId="0" xfId="0" applyFont="1" applyFill="1" applyAlignment="1">
      <alignment horizontal="center"/>
    </xf>
    <xf numFmtId="0" fontId="18" fillId="2" borderId="9" xfId="0" applyFont="1" applyFill="1" applyBorder="1" applyAlignment="1">
      <alignment horizontal="center"/>
    </xf>
    <xf numFmtId="0" fontId="20" fillId="0" borderId="0" xfId="0" applyFont="1"/>
    <xf numFmtId="0" fontId="0" fillId="2" borderId="5" xfId="0" applyFill="1" applyBorder="1" applyAlignment="1">
      <alignment horizontal="left"/>
    </xf>
    <xf numFmtId="0" fontId="0" fillId="2" borderId="5" xfId="0" applyFont="1" applyFill="1" applyBorder="1" applyAlignment="1">
      <alignment vertical="center" wrapText="1"/>
    </xf>
    <xf numFmtId="0" fontId="0" fillId="2" borderId="5" xfId="0" applyFont="1" applyFill="1" applyBorder="1" applyAlignment="1">
      <alignment horizontal="center" vertical="center" wrapText="1"/>
    </xf>
    <xf numFmtId="0" fontId="0" fillId="2" borderId="5" xfId="0" applyFill="1" applyBorder="1" applyAlignment="1">
      <alignment horizontal="center" vertical="center"/>
    </xf>
    <xf numFmtId="0" fontId="4" fillId="2" borderId="10" xfId="0" applyFont="1" applyFill="1" applyBorder="1" applyAlignment="1">
      <alignment horizontal="center" vertical="center"/>
    </xf>
    <xf numFmtId="0" fontId="0" fillId="0" borderId="5" xfId="0" applyFill="1" applyBorder="1"/>
    <xf numFmtId="0" fontId="0" fillId="0" borderId="5" xfId="0" applyBorder="1" applyAlignment="1">
      <alignment horizontal="center"/>
    </xf>
    <xf numFmtId="2" fontId="0" fillId="0" borderId="5" xfId="0" applyNumberFormat="1" applyBorder="1" applyAlignment="1">
      <alignment horizontal="center"/>
    </xf>
    <xf numFmtId="0" fontId="0" fillId="0" borderId="10" xfId="0" applyBorder="1" applyAlignment="1">
      <alignment horizontal="center"/>
    </xf>
    <xf numFmtId="0" fontId="0" fillId="0" borderId="5" xfId="0" applyBorder="1" applyAlignment="1">
      <alignment horizontal="left"/>
    </xf>
    <xf numFmtId="2" fontId="0" fillId="0" borderId="0" xfId="0" applyNumberFormat="1" applyAlignment="1">
      <alignment horizontal="center" vertical="center"/>
    </xf>
    <xf numFmtId="2" fontId="0" fillId="2" borderId="0" xfId="0" applyNumberFormat="1" applyFill="1" applyAlignment="1">
      <alignment horizontal="center" vertical="center"/>
    </xf>
    <xf numFmtId="0" fontId="4" fillId="6" borderId="0" xfId="0" applyFont="1" applyFill="1" applyAlignment="1">
      <alignment horizontal="center" vertical="center"/>
    </xf>
    <xf numFmtId="2" fontId="19" fillId="0" borderId="0" xfId="0" applyNumberFormat="1" applyFont="1" applyAlignment="1">
      <alignment horizontal="center" vertical="center"/>
    </xf>
    <xf numFmtId="0" fontId="4" fillId="2" borderId="0" xfId="0" applyFont="1" applyFill="1" applyAlignment="1">
      <alignment horizontal="center" vertical="center"/>
    </xf>
    <xf numFmtId="0" fontId="4" fillId="2" borderId="7" xfId="0" applyFont="1" applyFill="1" applyBorder="1" applyAlignment="1">
      <alignment horizontal="center" vertical="center"/>
    </xf>
    <xf numFmtId="0" fontId="4" fillId="0" borderId="9" xfId="0" applyFont="1" applyBorder="1" applyAlignment="1">
      <alignment horizontal="center" vertical="center"/>
    </xf>
    <xf numFmtId="1" fontId="0" fillId="2" borderId="0" xfId="0" applyNumberFormat="1" applyFill="1" applyAlignment="1">
      <alignment horizontal="center"/>
    </xf>
    <xf numFmtId="2" fontId="0" fillId="0" borderId="0" xfId="0" applyNumberFormat="1" applyFill="1" applyAlignment="1">
      <alignment horizontal="center" vertical="center"/>
    </xf>
    <xf numFmtId="1" fontId="4" fillId="2" borderId="7" xfId="0" applyNumberFormat="1" applyFont="1" applyFill="1" applyBorder="1" applyAlignment="1">
      <alignment horizontal="center"/>
    </xf>
    <xf numFmtId="1" fontId="4" fillId="0" borderId="9" xfId="0" applyNumberFormat="1" applyFont="1" applyBorder="1" applyAlignment="1">
      <alignment horizontal="center"/>
    </xf>
    <xf numFmtId="1" fontId="4" fillId="2" borderId="9" xfId="0" applyNumberFormat="1" applyFont="1" applyFill="1" applyBorder="1" applyAlignment="1">
      <alignment horizontal="center"/>
    </xf>
    <xf numFmtId="1" fontId="0" fillId="2" borderId="5" xfId="0" applyNumberFormat="1" applyFill="1" applyBorder="1" applyAlignment="1">
      <alignment horizontal="center"/>
    </xf>
    <xf numFmtId="1" fontId="4" fillId="2" borderId="10" xfId="0" applyNumberFormat="1" applyFont="1" applyFill="1" applyBorder="1" applyAlignment="1">
      <alignment horizontal="center"/>
    </xf>
    <xf numFmtId="1" fontId="0" fillId="2" borderId="0" xfId="0" applyNumberFormat="1" applyFill="1" applyAlignment="1">
      <alignment horizontal="center" vertical="center"/>
    </xf>
    <xf numFmtId="0" fontId="0" fillId="2" borderId="7" xfId="0" applyFill="1" applyBorder="1" applyAlignment="1">
      <alignment horizontal="center"/>
    </xf>
    <xf numFmtId="0" fontId="0" fillId="0" borderId="0" xfId="0" applyBorder="1" applyAlignment="1">
      <alignment horizontal="center"/>
    </xf>
    <xf numFmtId="0" fontId="0" fillId="2" borderId="6" xfId="0" applyFill="1" applyBorder="1" applyAlignment="1">
      <alignment horizontal="center"/>
    </xf>
    <xf numFmtId="1" fontId="0" fillId="0" borderId="5" xfId="0" applyNumberFormat="1" applyBorder="1" applyAlignment="1">
      <alignment horizontal="center"/>
    </xf>
    <xf numFmtId="0" fontId="0" fillId="0" borderId="14" xfId="0" applyBorder="1" applyAlignment="1">
      <alignment horizontal="center"/>
    </xf>
    <xf numFmtId="0" fontId="0" fillId="7" borderId="5" xfId="0" applyFill="1" applyBorder="1" applyAlignment="1">
      <alignment horizontal="center" vertical="center"/>
    </xf>
    <xf numFmtId="0" fontId="0" fillId="7" borderId="5" xfId="0" applyFill="1" applyBorder="1"/>
    <xf numFmtId="0" fontId="0" fillId="7" borderId="10" xfId="0" applyFill="1" applyBorder="1"/>
    <xf numFmtId="166" fontId="0" fillId="0" borderId="0" xfId="0" applyNumberFormat="1" applyFill="1" applyAlignment="1">
      <alignment horizontal="right"/>
    </xf>
    <xf numFmtId="2" fontId="0" fillId="0" borderId="0" xfId="0" applyNumberFormat="1" applyFill="1" applyAlignment="1">
      <alignment horizontal="center"/>
    </xf>
    <xf numFmtId="2" fontId="0" fillId="0" borderId="5" xfId="0" applyNumberFormat="1" applyFill="1" applyBorder="1" applyAlignment="1">
      <alignment horizontal="center"/>
    </xf>
    <xf numFmtId="0" fontId="18" fillId="2" borderId="5" xfId="0" applyFont="1" applyFill="1" applyBorder="1" applyAlignment="1">
      <alignment horizontal="center"/>
    </xf>
    <xf numFmtId="0" fontId="18" fillId="2" borderId="10" xfId="0" applyFont="1" applyFill="1" applyBorder="1" applyAlignment="1">
      <alignment horizontal="center"/>
    </xf>
    <xf numFmtId="0" fontId="4" fillId="0" borderId="10" xfId="0" applyFont="1" applyBorder="1" applyAlignment="1">
      <alignment horizontal="center"/>
    </xf>
    <xf numFmtId="0" fontId="4" fillId="2" borderId="0" xfId="0" applyFont="1" applyFill="1" applyAlignment="1">
      <alignment horizontal="center"/>
    </xf>
    <xf numFmtId="2" fontId="0" fillId="5" borderId="6" xfId="0" applyNumberFormat="1" applyFont="1" applyFill="1" applyBorder="1"/>
    <xf numFmtId="0" fontId="0" fillId="2" borderId="0" xfId="0" applyFill="1" applyBorder="1" applyAlignment="1">
      <alignment horizontal="center" vertical="center"/>
    </xf>
    <xf numFmtId="0" fontId="0" fillId="0" borderId="5" xfId="0" applyFill="1" applyBorder="1" applyAlignment="1">
      <alignment horizontal="center" vertical="center"/>
    </xf>
    <xf numFmtId="1" fontId="0" fillId="0" borderId="0" xfId="0" applyNumberFormat="1" applyFill="1" applyAlignment="1">
      <alignment horizontal="center" vertical="center"/>
    </xf>
    <xf numFmtId="1" fontId="0" fillId="2" borderId="5" xfId="0" applyNumberFormat="1" applyFill="1" applyBorder="1" applyAlignment="1">
      <alignment horizontal="center" vertical="center"/>
    </xf>
    <xf numFmtId="0" fontId="21" fillId="0" borderId="0" xfId="0" applyFont="1"/>
    <xf numFmtId="0" fontId="19" fillId="2" borderId="0" xfId="0" applyFont="1" applyFill="1" applyAlignment="1">
      <alignment horizontal="center" vertical="center"/>
    </xf>
    <xf numFmtId="0" fontId="4" fillId="0" borderId="0" xfId="0" applyFont="1" applyFill="1" applyAlignment="1">
      <alignment horizontal="center" vertical="center"/>
    </xf>
    <xf numFmtId="0" fontId="4" fillId="0" borderId="5" xfId="0" applyFont="1" applyFill="1" applyBorder="1" applyAlignment="1">
      <alignment horizontal="center" vertical="center"/>
    </xf>
    <xf numFmtId="0" fontId="0" fillId="2" borderId="15" xfId="0" applyFill="1"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19" fillId="0" borderId="0" xfId="0" applyFont="1" applyFill="1" applyAlignment="1">
      <alignment horizontal="center"/>
    </xf>
    <xf numFmtId="0" fontId="19" fillId="2" borderId="0" xfId="0" applyFont="1" applyFill="1" applyAlignment="1">
      <alignment horizontal="center" vertical="center" wrapText="1"/>
    </xf>
    <xf numFmtId="0" fontId="0" fillId="8" borderId="5" xfId="0" applyFont="1" applyFill="1" applyBorder="1" applyAlignment="1">
      <alignment horizontal="center" vertical="center" wrapText="1"/>
    </xf>
    <xf numFmtId="0" fontId="19" fillId="0" borderId="0" xfId="0" applyFont="1" applyFill="1" applyAlignment="1">
      <alignment horizontal="center" vertical="center" wrapText="1"/>
    </xf>
    <xf numFmtId="0" fontId="0" fillId="2" borderId="7" xfId="0" applyFill="1" applyBorder="1" applyAlignment="1">
      <alignment horizontal="center" vertical="center"/>
    </xf>
    <xf numFmtId="0" fontId="0" fillId="0" borderId="9" xfId="0"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0"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6" borderId="0" xfId="0" applyFont="1" applyFill="1" applyAlignment="1">
      <alignment horizontal="center" vertical="center" wrapText="1"/>
    </xf>
    <xf numFmtId="0" fontId="0" fillId="2" borderId="14" xfId="0" applyFill="1" applyBorder="1" applyAlignment="1">
      <alignment horizontal="center"/>
    </xf>
    <xf numFmtId="0" fontId="0" fillId="2" borderId="10" xfId="0" applyFont="1" applyFill="1" applyBorder="1" applyAlignment="1">
      <alignment horizontal="center" vertical="center" wrapText="1"/>
    </xf>
    <xf numFmtId="0" fontId="18" fillId="0" borderId="0" xfId="0" applyFont="1" applyFill="1" applyAlignment="1">
      <alignment horizontal="center" vertical="center" wrapText="1"/>
    </xf>
    <xf numFmtId="0" fontId="0" fillId="2" borderId="0" xfId="0" applyFont="1" applyFill="1" applyAlignment="1">
      <alignment horizontal="left" vertical="center"/>
    </xf>
    <xf numFmtId="0" fontId="0" fillId="0" borderId="0" xfId="0" applyFont="1" applyFill="1" applyAlignment="1">
      <alignment horizontal="left" vertical="center"/>
    </xf>
    <xf numFmtId="0" fontId="0" fillId="0" borderId="10" xfId="0" applyBorder="1" applyAlignment="1">
      <alignment horizontal="center" vertical="center"/>
    </xf>
    <xf numFmtId="0" fontId="0" fillId="2"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5" xfId="0" applyFont="1" applyFill="1" applyBorder="1" applyAlignment="1">
      <alignment horizontal="left" vertical="center" wrapText="1"/>
    </xf>
    <xf numFmtId="0" fontId="18" fillId="2" borderId="0" xfId="0" applyFont="1" applyFill="1" applyAlignment="1">
      <alignment horizontal="center" vertical="center" wrapText="1"/>
    </xf>
    <xf numFmtId="0" fontId="18" fillId="2" borderId="5" xfId="0" applyFont="1" applyFill="1" applyBorder="1" applyAlignment="1">
      <alignment horizontal="center" vertical="center" wrapText="1"/>
    </xf>
    <xf numFmtId="0" fontId="18" fillId="0" borderId="5" xfId="0" applyFont="1" applyBorder="1" applyAlignment="1">
      <alignment horizontal="center"/>
    </xf>
    <xf numFmtId="0" fontId="22" fillId="2" borderId="0" xfId="0" applyFont="1" applyFill="1" applyAlignment="1">
      <alignment horizontal="center"/>
    </xf>
    <xf numFmtId="0" fontId="22" fillId="0" borderId="0" xfId="0" applyFont="1" applyAlignment="1">
      <alignment horizontal="center"/>
    </xf>
    <xf numFmtId="2" fontId="18" fillId="2" borderId="0" xfId="0" applyNumberFormat="1" applyFont="1" applyFill="1" applyAlignment="1">
      <alignment horizontal="center"/>
    </xf>
    <xf numFmtId="2" fontId="18" fillId="0" borderId="0" xfId="0" applyNumberFormat="1" applyFont="1" applyAlignment="1">
      <alignment horizontal="center"/>
    </xf>
    <xf numFmtId="1" fontId="18" fillId="0" borderId="0" xfId="0" applyNumberFormat="1" applyFont="1" applyAlignment="1">
      <alignment horizontal="center"/>
    </xf>
    <xf numFmtId="1" fontId="19" fillId="2" borderId="0" xfId="0" applyNumberFormat="1" applyFont="1" applyFill="1" applyAlignment="1">
      <alignment horizontal="center"/>
    </xf>
    <xf numFmtId="1" fontId="19" fillId="0" borderId="0" xfId="0" applyNumberFormat="1" applyFont="1" applyAlignment="1">
      <alignment horizontal="center"/>
    </xf>
    <xf numFmtId="0" fontId="18" fillId="2" borderId="7" xfId="0" applyFont="1" applyFill="1" applyBorder="1" applyAlignment="1">
      <alignment horizontal="center"/>
    </xf>
    <xf numFmtId="0" fontId="13" fillId="0" borderId="8" xfId="0" applyFont="1" applyBorder="1" applyAlignment="1">
      <alignment horizontal="center" vertical="center" wrapText="1"/>
    </xf>
    <xf numFmtId="0" fontId="19" fillId="0" borderId="9" xfId="0" applyFont="1" applyFill="1" applyBorder="1" applyAlignment="1">
      <alignment horizontal="center" vertical="center"/>
    </xf>
    <xf numFmtId="0" fontId="19" fillId="0" borderId="0" xfId="0" applyFont="1" applyFill="1" applyAlignment="1">
      <alignment horizontal="center" vertical="center"/>
    </xf>
    <xf numFmtId="0" fontId="19" fillId="2" borderId="9" xfId="0" applyFont="1" applyFill="1" applyBorder="1" applyAlignment="1">
      <alignment horizontal="center" vertical="center"/>
    </xf>
    <xf numFmtId="0" fontId="4" fillId="0" borderId="0" xfId="0" applyFont="1" applyAlignment="1">
      <alignment horizontal="center"/>
    </xf>
    <xf numFmtId="0" fontId="4" fillId="2" borderId="5" xfId="0" applyFont="1" applyFill="1" applyBorder="1" applyAlignment="1">
      <alignment horizontal="center"/>
    </xf>
    <xf numFmtId="0" fontId="4" fillId="2" borderId="0" xfId="0" applyFont="1" applyFill="1" applyAlignment="1">
      <alignment horizontal="center" vertical="center" wrapText="1"/>
    </xf>
    <xf numFmtId="0" fontId="4" fillId="0" borderId="0" xfId="0" applyFont="1" applyFill="1" applyAlignment="1">
      <alignment horizontal="center" vertical="center" wrapText="1"/>
    </xf>
    <xf numFmtId="0" fontId="4" fillId="2" borderId="5" xfId="0" applyFont="1" applyFill="1" applyBorder="1" applyAlignment="1">
      <alignment horizontal="center" vertical="center" wrapText="1"/>
    </xf>
    <xf numFmtId="0" fontId="19" fillId="2" borderId="5" xfId="0" applyFont="1" applyFill="1" applyBorder="1" applyAlignment="1">
      <alignment horizontal="center"/>
    </xf>
    <xf numFmtId="0" fontId="19" fillId="0" borderId="5" xfId="0" applyFont="1" applyFill="1" applyBorder="1" applyAlignment="1">
      <alignment horizontal="center" vertical="center"/>
    </xf>
    <xf numFmtId="0" fontId="0" fillId="2" borderId="18" xfId="0" applyFill="1" applyBorder="1" applyAlignment="1">
      <alignment horizontal="left"/>
    </xf>
    <xf numFmtId="0" fontId="0" fillId="0" borderId="15" xfId="0" applyBorder="1" applyAlignment="1">
      <alignment horizontal="left"/>
    </xf>
    <xf numFmtId="0" fontId="0" fillId="2" borderId="14" xfId="0" applyFill="1" applyBorder="1"/>
    <xf numFmtId="0" fontId="0" fillId="2" borderId="17" xfId="0" applyFill="1" applyBorder="1"/>
    <xf numFmtId="0" fontId="0" fillId="2" borderId="18" xfId="0" applyFont="1" applyFill="1" applyBorder="1" applyAlignment="1">
      <alignment vertical="center" wrapText="1"/>
    </xf>
    <xf numFmtId="0" fontId="0" fillId="0" borderId="15" xfId="0" applyFont="1" applyFill="1" applyBorder="1" applyAlignment="1">
      <alignment vertical="center" wrapText="1"/>
    </xf>
    <xf numFmtId="0" fontId="0" fillId="2" borderId="17" xfId="0" applyFont="1" applyFill="1" applyBorder="1" applyAlignment="1">
      <alignment vertical="center" wrapText="1"/>
    </xf>
    <xf numFmtId="0" fontId="0" fillId="2" borderId="17" xfId="0" applyFill="1" applyBorder="1" applyAlignment="1">
      <alignment horizontal="left"/>
    </xf>
    <xf numFmtId="0" fontId="0" fillId="2" borderId="15" xfId="0" applyFont="1" applyFill="1" applyBorder="1" applyAlignment="1">
      <alignment vertical="center" wrapText="1"/>
    </xf>
    <xf numFmtId="0" fontId="0" fillId="2" borderId="15" xfId="0" applyFill="1" applyBorder="1" applyAlignment="1">
      <alignment horizontal="left"/>
    </xf>
    <xf numFmtId="0" fontId="0" fillId="2" borderId="14" xfId="0" applyFill="1" applyBorder="1" applyAlignment="1">
      <alignment horizontal="left"/>
    </xf>
    <xf numFmtId="0" fontId="0" fillId="2" borderId="15" xfId="0" applyFill="1" applyBorder="1"/>
    <xf numFmtId="0" fontId="0" fillId="0" borderId="14" xfId="0" applyBorder="1" applyAlignment="1">
      <alignment horizontal="left"/>
    </xf>
    <xf numFmtId="0" fontId="19" fillId="0" borderId="5" xfId="0" applyFont="1" applyBorder="1" applyAlignment="1">
      <alignment horizontal="center"/>
    </xf>
    <xf numFmtId="0" fontId="0" fillId="0" borderId="14" xfId="0" applyFill="1" applyBorder="1"/>
    <xf numFmtId="0" fontId="19" fillId="0" borderId="5" xfId="0" applyFont="1" applyFill="1" applyBorder="1" applyAlignment="1">
      <alignment horizontal="center"/>
    </xf>
    <xf numFmtId="0" fontId="20" fillId="0" borderId="0" xfId="0" applyFont="1" applyAlignment="1">
      <alignment wrapText="1"/>
    </xf>
    <xf numFmtId="0" fontId="0" fillId="0" borderId="0" xfId="0" applyAlignment="1">
      <alignment horizontal="left"/>
    </xf>
    <xf numFmtId="165" fontId="12" fillId="0" borderId="2" xfId="0" applyNumberFormat="1" applyFont="1" applyBorder="1" applyAlignment="1">
      <alignment horizontal="center" vertical="center" wrapText="1"/>
    </xf>
    <xf numFmtId="165" fontId="12" fillId="0" borderId="11" xfId="0" applyNumberFormat="1" applyFont="1" applyBorder="1" applyAlignment="1">
      <alignment horizontal="center" vertical="center" wrapText="1"/>
    </xf>
    <xf numFmtId="167" fontId="4" fillId="2" borderId="0" xfId="0" applyNumberFormat="1" applyFont="1" applyFill="1" applyBorder="1" applyAlignment="1">
      <alignment horizontal="right"/>
    </xf>
    <xf numFmtId="166" fontId="0" fillId="2" borderId="0" xfId="0" applyNumberFormat="1" applyFill="1" applyAlignment="1">
      <alignment horizontal="right"/>
    </xf>
    <xf numFmtId="167" fontId="4" fillId="2" borderId="6" xfId="0" applyNumberFormat="1" applyFont="1" applyFill="1" applyBorder="1" applyAlignment="1">
      <alignment horizontal="right"/>
    </xf>
    <xf numFmtId="0" fontId="10" fillId="4" borderId="0" xfId="0" applyFont="1" applyFill="1" applyBorder="1" applyAlignment="1">
      <alignment vertical="center" wrapText="1"/>
    </xf>
    <xf numFmtId="0" fontId="10" fillId="4" borderId="0" xfId="0" applyFont="1" applyFill="1" applyBorder="1" applyAlignment="1">
      <alignment horizontal="center" vertical="center" wrapText="1"/>
    </xf>
    <xf numFmtId="9" fontId="1" fillId="4" borderId="0" xfId="0" applyNumberFormat="1" applyFont="1" applyFill="1" applyBorder="1" applyAlignment="1">
      <alignment horizontal="center" vertical="center" wrapText="1"/>
    </xf>
    <xf numFmtId="9" fontId="10" fillId="4" borderId="0" xfId="0" applyNumberFormat="1" applyFont="1" applyFill="1" applyBorder="1" applyAlignment="1">
      <alignment horizontal="center" vertical="center" wrapText="1"/>
    </xf>
    <xf numFmtId="0" fontId="23" fillId="0" borderId="0" xfId="0" applyFont="1"/>
    <xf numFmtId="0" fontId="13" fillId="2" borderId="0" xfId="0" applyFont="1" applyFill="1" applyAlignment="1">
      <alignment vertical="center" wrapText="1"/>
    </xf>
    <xf numFmtId="0" fontId="0" fillId="2" borderId="0" xfId="0" applyFill="1" applyBorder="1" applyAlignment="1">
      <alignment horizontal="center"/>
    </xf>
    <xf numFmtId="0" fontId="0" fillId="0" borderId="5" xfId="0" applyFill="1" applyBorder="1" applyAlignment="1">
      <alignment horizontal="left"/>
    </xf>
    <xf numFmtId="0" fontId="0" fillId="0" borderId="10" xfId="0" applyFill="1" applyBorder="1" applyAlignment="1">
      <alignment horizontal="center" vertical="center"/>
    </xf>
    <xf numFmtId="0" fontId="27" fillId="2" borderId="0" xfId="0" applyFont="1" applyFill="1" applyAlignment="1">
      <alignment vertical="center" wrapText="1"/>
    </xf>
    <xf numFmtId="0" fontId="27" fillId="0" borderId="5" xfId="0" applyFont="1" applyFill="1" applyBorder="1" applyAlignment="1">
      <alignment vertical="center" wrapText="1"/>
    </xf>
    <xf numFmtId="1" fontId="0" fillId="0" borderId="5" xfId="0" applyNumberFormat="1" applyBorder="1" applyAlignment="1">
      <alignment horizontal="center" vertical="center"/>
    </xf>
    <xf numFmtId="0" fontId="24" fillId="2" borderId="7" xfId="0" applyFont="1" applyFill="1" applyBorder="1" applyAlignment="1">
      <alignment horizontal="center"/>
    </xf>
    <xf numFmtId="0" fontId="24" fillId="0" borderId="9" xfId="0" applyFont="1" applyBorder="1" applyAlignment="1">
      <alignment horizontal="center"/>
    </xf>
    <xf numFmtId="0" fontId="24" fillId="2" borderId="9" xfId="0" applyFont="1" applyFill="1" applyBorder="1" applyAlignment="1">
      <alignment horizontal="center"/>
    </xf>
    <xf numFmtId="0" fontId="4" fillId="0" borderId="9" xfId="0" applyFont="1" applyBorder="1" applyAlignment="1">
      <alignment horizontal="center"/>
    </xf>
    <xf numFmtId="0" fontId="4" fillId="2" borderId="9" xfId="0" applyFont="1" applyFill="1" applyBorder="1" applyAlignment="1">
      <alignment horizontal="center"/>
    </xf>
    <xf numFmtId="0" fontId="4" fillId="2" borderId="10" xfId="0" applyFont="1" applyFill="1" applyBorder="1" applyAlignment="1">
      <alignment horizontal="center"/>
    </xf>
    <xf numFmtId="0" fontId="4" fillId="2" borderId="0" xfId="0" applyFont="1" applyFill="1" applyBorder="1" applyAlignment="1">
      <alignment horizontal="center"/>
    </xf>
    <xf numFmtId="0" fontId="26" fillId="0" borderId="0" xfId="0" applyFont="1" applyAlignment="1">
      <alignment horizontal="left"/>
    </xf>
    <xf numFmtId="0" fontId="26" fillId="2" borderId="0" xfId="0" applyFont="1" applyFill="1"/>
    <xf numFmtId="0" fontId="26" fillId="0" borderId="0" xfId="0" applyFont="1" applyFill="1"/>
    <xf numFmtId="0" fontId="26" fillId="2" borderId="5" xfId="0" applyFont="1" applyFill="1" applyBorder="1"/>
    <xf numFmtId="0" fontId="26" fillId="2"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2" fontId="0" fillId="2" borderId="0" xfId="0" applyNumberFormat="1" applyFont="1" applyFill="1" applyAlignment="1">
      <alignment horizontal="center" vertical="center" wrapText="1"/>
    </xf>
    <xf numFmtId="2" fontId="0" fillId="0" borderId="0" xfId="0" applyNumberFormat="1" applyFont="1" applyFill="1" applyAlignment="1">
      <alignment horizontal="center" vertical="center" wrapText="1"/>
    </xf>
    <xf numFmtId="1" fontId="0" fillId="0" borderId="0" xfId="0" applyNumberFormat="1" applyAlignment="1">
      <alignment horizontal="center" vertical="center"/>
    </xf>
    <xf numFmtId="0" fontId="28" fillId="0" borderId="0" xfId="0" applyFont="1" applyFill="1" applyAlignment="1">
      <alignment horizontal="center" vertical="center" wrapText="1"/>
    </xf>
    <xf numFmtId="0" fontId="24" fillId="2" borderId="7" xfId="0" applyFont="1" applyFill="1" applyBorder="1" applyAlignment="1">
      <alignment horizontal="center" vertical="center"/>
    </xf>
    <xf numFmtId="0" fontId="26" fillId="2" borderId="0" xfId="0" applyFont="1" applyFill="1" applyAlignment="1">
      <alignment horizontal="left"/>
    </xf>
    <xf numFmtId="0" fontId="0" fillId="0" borderId="0" xfId="0" applyAlignment="1">
      <alignment horizontal="left" wrapText="1"/>
    </xf>
    <xf numFmtId="0" fontId="0" fillId="0" borderId="0" xfId="0" applyFill="1" applyAlignment="1">
      <alignment horizontal="center"/>
    </xf>
    <xf numFmtId="0" fontId="0" fillId="0" borderId="9" xfId="0" applyFill="1" applyBorder="1" applyAlignment="1">
      <alignment horizontal="center"/>
    </xf>
    <xf numFmtId="164" fontId="0" fillId="2" borderId="0" xfId="0" applyNumberFormat="1" applyFill="1" applyAlignment="1">
      <alignment horizontal="center"/>
    </xf>
    <xf numFmtId="164" fontId="0" fillId="0" borderId="0" xfId="0" applyNumberFormat="1" applyAlignment="1">
      <alignment horizontal="center"/>
    </xf>
    <xf numFmtId="1" fontId="0" fillId="0" borderId="0" xfId="0" applyNumberFormat="1" applyFill="1" applyAlignment="1">
      <alignment horizontal="center"/>
    </xf>
    <xf numFmtId="0" fontId="29" fillId="0" borderId="0" xfId="0" applyFont="1" applyAlignment="1">
      <alignment horizontal="left" vertical="center" wrapText="1"/>
    </xf>
    <xf numFmtId="0" fontId="29" fillId="3" borderId="0" xfId="0" applyFont="1" applyFill="1" applyAlignment="1">
      <alignment horizontal="left" vertical="center" wrapText="1"/>
    </xf>
    <xf numFmtId="0" fontId="4" fillId="2" borderId="7" xfId="0" applyFont="1" applyFill="1" applyBorder="1" applyAlignment="1">
      <alignment horizontal="center"/>
    </xf>
    <xf numFmtId="0" fontId="4" fillId="0" borderId="9" xfId="0" applyFont="1" applyFill="1" applyBorder="1" applyAlignment="1">
      <alignment horizontal="center"/>
    </xf>
    <xf numFmtId="0" fontId="4" fillId="2" borderId="6" xfId="0" applyFont="1" applyFill="1" applyBorder="1" applyAlignment="1">
      <alignment horizontal="center"/>
    </xf>
    <xf numFmtId="164" fontId="0" fillId="2" borderId="0" xfId="0" applyNumberFormat="1" applyFont="1" applyFill="1" applyAlignment="1">
      <alignment horizontal="center" vertical="center" wrapText="1"/>
    </xf>
    <xf numFmtId="1" fontId="0" fillId="2" borderId="0" xfId="0" applyNumberFormat="1" applyFont="1" applyFill="1" applyAlignment="1">
      <alignment horizontal="center" vertical="center" wrapText="1"/>
    </xf>
    <xf numFmtId="1" fontId="0" fillId="0" borderId="5" xfId="0" applyNumberFormat="1" applyFont="1" applyFill="1" applyBorder="1" applyAlignment="1">
      <alignment horizontal="center" vertical="center" wrapText="1"/>
    </xf>
    <xf numFmtId="164" fontId="19" fillId="0" borderId="0" xfId="0" applyNumberFormat="1" applyFont="1" applyFill="1" applyAlignment="1">
      <alignment horizontal="center" vertical="center" wrapText="1"/>
    </xf>
    <xf numFmtId="0" fontId="4" fillId="0" borderId="10" xfId="0" applyFont="1" applyFill="1" applyBorder="1" applyAlignment="1">
      <alignment horizontal="center"/>
    </xf>
    <xf numFmtId="0" fontId="4" fillId="0"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0" fillId="8" borderId="0" xfId="0" applyFont="1" applyFill="1" applyBorder="1" applyAlignment="1">
      <alignment horizontal="center" vertical="center" wrapText="1"/>
    </xf>
    <xf numFmtId="0" fontId="4" fillId="2" borderId="10" xfId="0" applyFont="1" applyFill="1" applyBorder="1" applyAlignment="1">
      <alignment horizontal="center" vertical="center" wrapText="1"/>
    </xf>
    <xf numFmtId="164" fontId="0" fillId="2" borderId="5" xfId="0" applyNumberFormat="1" applyFill="1" applyBorder="1" applyAlignment="1">
      <alignment horizontal="center" vertical="center"/>
    </xf>
    <xf numFmtId="164" fontId="19" fillId="2" borderId="0" xfId="0" applyNumberFormat="1" applyFont="1" applyFill="1" applyAlignment="1">
      <alignment horizontal="center"/>
    </xf>
    <xf numFmtId="164" fontId="19" fillId="0" borderId="0" xfId="0" applyNumberFormat="1" applyFont="1" applyAlignment="1">
      <alignment horizontal="center"/>
    </xf>
    <xf numFmtId="0" fontId="26" fillId="0" borderId="0" xfId="0" applyFont="1" applyAlignment="1">
      <alignment horizontal="center"/>
    </xf>
    <xf numFmtId="0" fontId="27" fillId="0" borderId="0" xfId="0" applyFont="1" applyAlignment="1">
      <alignment horizontal="center"/>
    </xf>
    <xf numFmtId="0" fontId="13" fillId="0" borderId="2" xfId="0" applyFont="1" applyBorder="1" applyAlignment="1">
      <alignment horizontal="center" vertical="center" wrapText="1"/>
    </xf>
    <xf numFmtId="17" fontId="13" fillId="0" borderId="19" xfId="0" applyNumberFormat="1" applyFont="1" applyBorder="1" applyAlignment="1">
      <alignment horizontal="center" vertical="center" wrapText="1"/>
    </xf>
    <xf numFmtId="0" fontId="0" fillId="0" borderId="20" xfId="0" applyBorder="1"/>
    <xf numFmtId="0" fontId="5" fillId="0" borderId="20" xfId="0" applyFont="1" applyBorder="1" applyAlignment="1">
      <alignment wrapText="1"/>
    </xf>
    <xf numFmtId="0" fontId="19" fillId="0" borderId="10" xfId="0" applyFont="1" applyFill="1" applyBorder="1" applyAlignment="1">
      <alignment horizontal="center" vertical="center"/>
    </xf>
    <xf numFmtId="0" fontId="19" fillId="2" borderId="22" xfId="0" applyFont="1" applyFill="1" applyBorder="1" applyAlignment="1">
      <alignment horizontal="center"/>
    </xf>
    <xf numFmtId="0" fontId="4" fillId="0" borderId="0" xfId="0" applyFont="1" applyBorder="1" applyAlignment="1">
      <alignment horizontal="center"/>
    </xf>
    <xf numFmtId="0" fontId="18" fillId="0" borderId="0" xfId="0" applyFont="1" applyFill="1" applyAlignment="1">
      <alignment vertical="center" wrapText="1"/>
    </xf>
    <xf numFmtId="0" fontId="18" fillId="2" borderId="0" xfId="0" applyFont="1" applyFill="1" applyAlignment="1">
      <alignment vertical="center" wrapText="1"/>
    </xf>
    <xf numFmtId="0" fontId="4"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2" borderId="10" xfId="0" applyFont="1" applyFill="1" applyBorder="1" applyAlignment="1">
      <alignment horizontal="center" vertical="center"/>
    </xf>
    <xf numFmtId="0" fontId="19" fillId="2" borderId="5" xfId="0" applyFont="1" applyFill="1" applyBorder="1" applyAlignment="1">
      <alignment horizontal="center" vertical="center"/>
    </xf>
    <xf numFmtId="0" fontId="24" fillId="2" borderId="9" xfId="0" applyFont="1" applyFill="1" applyBorder="1" applyAlignment="1">
      <alignment horizontal="center" vertical="center"/>
    </xf>
    <xf numFmtId="0" fontId="19" fillId="0" borderId="9" xfId="0" applyFont="1" applyBorder="1" applyAlignment="1">
      <alignment horizontal="center" vertical="center"/>
    </xf>
    <xf numFmtId="0" fontId="18" fillId="0" borderId="5" xfId="0" applyFont="1" applyFill="1" applyBorder="1" applyAlignment="1">
      <alignment vertical="center" wrapText="1"/>
    </xf>
    <xf numFmtId="0" fontId="27" fillId="0" borderId="0" xfId="0" applyFont="1" applyAlignment="1">
      <alignment horizontal="left" vertical="center" wrapText="1"/>
    </xf>
    <xf numFmtId="0" fontId="27" fillId="3" borderId="0" xfId="0" applyFont="1" applyFill="1" applyAlignment="1">
      <alignment horizontal="left" vertical="center" wrapText="1"/>
    </xf>
    <xf numFmtId="0" fontId="5" fillId="0" borderId="6" xfId="0" applyFont="1" applyBorder="1" applyAlignment="1">
      <alignment wrapText="1"/>
    </xf>
    <xf numFmtId="0" fontId="0" fillId="2" borderId="14" xfId="0" applyFill="1" applyBorder="1" applyAlignment="1">
      <alignment horizontal="left" vertical="center"/>
    </xf>
    <xf numFmtId="0" fontId="30" fillId="0" borderId="0" xfId="0" applyFont="1"/>
    <xf numFmtId="0" fontId="31" fillId="0" borderId="0" xfId="0" applyFont="1"/>
    <xf numFmtId="0" fontId="31" fillId="0" borderId="14" xfId="0" applyFont="1" applyBorder="1"/>
    <xf numFmtId="0" fontId="31" fillId="0" borderId="21" xfId="0" applyFont="1" applyBorder="1"/>
    <xf numFmtId="0" fontId="31" fillId="0" borderId="5" xfId="0" applyFont="1" applyBorder="1"/>
    <xf numFmtId="0" fontId="31" fillId="0" borderId="15" xfId="0" applyFont="1" applyBorder="1"/>
    <xf numFmtId="0" fontId="31" fillId="0" borderId="23" xfId="0" applyFont="1" applyBorder="1"/>
    <xf numFmtId="0" fontId="33" fillId="0" borderId="0" xfId="0" applyFont="1"/>
    <xf numFmtId="0" fontId="0" fillId="0" borderId="9" xfId="0" applyBorder="1"/>
    <xf numFmtId="0" fontId="19" fillId="2" borderId="21" xfId="0" applyFont="1" applyFill="1" applyBorder="1" applyAlignment="1">
      <alignment horizontal="center" vertical="center"/>
    </xf>
    <xf numFmtId="1" fontId="19" fillId="2" borderId="7" xfId="0" applyNumberFormat="1" applyFont="1" applyFill="1" applyBorder="1" applyAlignment="1">
      <alignment horizontal="center"/>
    </xf>
    <xf numFmtId="0" fontId="19" fillId="2" borderId="9" xfId="0" applyFont="1" applyFill="1" applyBorder="1" applyAlignment="1">
      <alignment horizontal="center"/>
    </xf>
    <xf numFmtId="0" fontId="34" fillId="0" borderId="0" xfId="0" applyFont="1"/>
    <xf numFmtId="0" fontId="35" fillId="0" borderId="0" xfId="0" applyFont="1" applyAlignment="1">
      <alignment vertical="top"/>
    </xf>
    <xf numFmtId="0" fontId="0" fillId="0" borderId="0" xfId="0" applyAlignment="1">
      <alignment vertical="top"/>
    </xf>
    <xf numFmtId="0" fontId="5" fillId="10" borderId="0" xfId="0" applyFont="1" applyFill="1"/>
    <xf numFmtId="0" fontId="0" fillId="10" borderId="0" xfId="0" applyFill="1"/>
    <xf numFmtId="0" fontId="0" fillId="0" borderId="24" xfId="0" applyBorder="1"/>
    <xf numFmtId="0" fontId="0" fillId="0" borderId="26" xfId="0" applyBorder="1"/>
    <xf numFmtId="0" fontId="0" fillId="5" borderId="25" xfId="0" applyFill="1" applyBorder="1" applyAlignment="1">
      <alignment vertical="center"/>
    </xf>
    <xf numFmtId="0" fontId="0" fillId="0" borderId="24" xfId="0" applyBorder="1" applyAlignment="1">
      <alignment vertical="center"/>
    </xf>
    <xf numFmtId="0" fontId="0" fillId="5" borderId="27" xfId="0" applyFill="1" applyBorder="1" applyAlignment="1">
      <alignment vertical="center"/>
    </xf>
    <xf numFmtId="0" fontId="0" fillId="0" borderId="26" xfId="0" applyBorder="1" applyAlignment="1">
      <alignment vertical="center"/>
    </xf>
    <xf numFmtId="0" fontId="0" fillId="9" borderId="0" xfId="0" applyFill="1" applyAlignment="1">
      <alignment vertical="center"/>
    </xf>
    <xf numFmtId="0" fontId="0" fillId="0" borderId="0" xfId="0" applyAlignment="1">
      <alignment vertical="center"/>
    </xf>
    <xf numFmtId="0" fontId="5" fillId="9" borderId="0" xfId="0" applyFont="1" applyFill="1" applyAlignment="1"/>
    <xf numFmtId="0" fontId="0" fillId="0" borderId="25" xfId="0" applyBorder="1" applyAlignment="1">
      <alignment vertical="center"/>
    </xf>
    <xf numFmtId="0" fontId="0" fillId="0" borderId="27" xfId="0" applyBorder="1" applyAlignment="1">
      <alignment vertical="center"/>
    </xf>
    <xf numFmtId="0" fontId="0" fillId="0" borderId="0" xfId="0" applyBorder="1" applyAlignment="1">
      <alignment vertical="center"/>
    </xf>
    <xf numFmtId="0" fontId="0" fillId="0" borderId="0" xfId="0" applyBorder="1" applyAlignment="1"/>
    <xf numFmtId="0" fontId="0" fillId="0" borderId="24" xfId="0" applyBorder="1" applyAlignment="1">
      <alignment vertical="top"/>
    </xf>
    <xf numFmtId="0" fontId="0" fillId="0" borderId="28" xfId="0" applyBorder="1"/>
    <xf numFmtId="0" fontId="0" fillId="0" borderId="28" xfId="0" applyBorder="1" applyAlignment="1">
      <alignment vertical="center"/>
    </xf>
    <xf numFmtId="0" fontId="14" fillId="0" borderId="0" xfId="0" applyFont="1" applyFill="1" applyAlignment="1">
      <alignment horizontal="center"/>
    </xf>
    <xf numFmtId="0" fontId="0" fillId="0" borderId="0" xfId="0" applyAlignment="1">
      <alignment horizontal="center" wrapText="1"/>
    </xf>
    <xf numFmtId="0" fontId="0" fillId="0" borderId="14" xfId="0" applyBorder="1" applyAlignment="1">
      <alignment horizontal="center" vertical="center" wrapText="1"/>
    </xf>
    <xf numFmtId="0" fontId="0" fillId="0" borderId="5" xfId="0" applyBorder="1" applyAlignment="1">
      <alignment horizontal="center" vertical="center" wrapText="1"/>
    </xf>
    <xf numFmtId="0" fontId="0" fillId="0" borderId="15" xfId="0" applyBorder="1" applyAlignment="1">
      <alignment horizontal="center" vertical="center" wrapText="1"/>
    </xf>
    <xf numFmtId="9" fontId="0" fillId="0" borderId="0" xfId="1" applyFont="1" applyAlignment="1">
      <alignment horizontal="center" vertical="center" wrapText="1"/>
    </xf>
    <xf numFmtId="0" fontId="0" fillId="0" borderId="0" xfId="0" applyAlignment="1">
      <alignment horizontal="center" vertical="center" wrapText="1"/>
    </xf>
    <xf numFmtId="0" fontId="37" fillId="0" borderId="0" xfId="0" applyFont="1"/>
    <xf numFmtId="0" fontId="4" fillId="0" borderId="0" xfId="0" applyFont="1" applyFill="1" applyAlignment="1">
      <alignment vertical="center" wrapText="1"/>
    </xf>
    <xf numFmtId="0" fontId="1" fillId="0" borderId="0" xfId="0" applyFont="1" applyAlignment="1">
      <alignment wrapText="1"/>
    </xf>
    <xf numFmtId="0" fontId="1" fillId="3" borderId="0" xfId="0" applyFont="1" applyFill="1" applyAlignment="1">
      <alignment wrapText="1"/>
    </xf>
    <xf numFmtId="168" fontId="1" fillId="3" borderId="0" xfId="1" applyNumberFormat="1" applyFont="1" applyFill="1" applyAlignment="1">
      <alignment horizontal="center" vertical="center" wrapText="1"/>
    </xf>
    <xf numFmtId="168" fontId="1" fillId="0" borderId="0" xfId="1" applyNumberFormat="1" applyFont="1" applyAlignment="1">
      <alignment horizontal="center" vertical="center" wrapText="1"/>
    </xf>
    <xf numFmtId="0" fontId="18" fillId="0" borderId="0" xfId="0" applyFont="1"/>
    <xf numFmtId="0" fontId="18" fillId="0" borderId="15" xfId="0" applyFont="1" applyBorder="1" applyAlignment="1">
      <alignment horizontal="center" vertical="center"/>
    </xf>
    <xf numFmtId="0" fontId="39" fillId="0" borderId="0" xfId="0" applyFont="1"/>
    <xf numFmtId="0" fontId="40" fillId="0" borderId="0" xfId="0" applyFont="1"/>
    <xf numFmtId="3" fontId="41" fillId="13" borderId="0" xfId="0" applyNumberFormat="1" applyFont="1" applyFill="1" applyBorder="1" applyAlignment="1">
      <alignment horizontal="center" vertical="center" wrapText="1"/>
    </xf>
    <xf numFmtId="9" fontId="41" fillId="14" borderId="0" xfId="1" applyNumberFormat="1" applyFont="1" applyFill="1" applyBorder="1" applyAlignment="1">
      <alignment horizontal="center" vertical="center" wrapText="1"/>
    </xf>
    <xf numFmtId="1" fontId="41" fillId="13" borderId="0" xfId="0" applyNumberFormat="1" applyFont="1" applyFill="1" applyBorder="1" applyAlignment="1">
      <alignment horizontal="center" vertical="center" wrapText="1"/>
    </xf>
    <xf numFmtId="0" fontId="41" fillId="13" borderId="0" xfId="0" applyFont="1" applyFill="1" applyBorder="1" applyAlignment="1">
      <alignment vertical="center" wrapText="1"/>
    </xf>
    <xf numFmtId="3" fontId="41" fillId="13" borderId="22" xfId="0" applyNumberFormat="1" applyFont="1" applyFill="1" applyBorder="1" applyAlignment="1">
      <alignment horizontal="center" vertical="center" wrapText="1"/>
    </xf>
    <xf numFmtId="9" fontId="41" fillId="14" borderId="22" xfId="1" applyNumberFormat="1" applyFont="1" applyFill="1" applyBorder="1" applyAlignment="1">
      <alignment horizontal="center" vertical="center" wrapText="1"/>
    </xf>
    <xf numFmtId="1" fontId="41" fillId="13" borderId="22" xfId="0" applyNumberFormat="1" applyFont="1" applyFill="1" applyBorder="1" applyAlignment="1">
      <alignment horizontal="center" vertical="center" wrapText="1"/>
    </xf>
    <xf numFmtId="0" fontId="41" fillId="13" borderId="22" xfId="0" applyFont="1" applyFill="1" applyBorder="1" applyAlignment="1">
      <alignment vertical="center" wrapText="1"/>
    </xf>
    <xf numFmtId="1" fontId="42" fillId="14" borderId="0" xfId="0" applyNumberFormat="1" applyFont="1" applyFill="1" applyBorder="1" applyAlignment="1">
      <alignment horizontal="center" vertical="center" wrapText="1"/>
    </xf>
    <xf numFmtId="9" fontId="42" fillId="14" borderId="0" xfId="1" applyNumberFormat="1" applyFont="1" applyFill="1" applyAlignment="1">
      <alignment horizontal="center" vertical="center" wrapText="1"/>
    </xf>
    <xf numFmtId="0" fontId="42" fillId="14" borderId="0" xfId="0" applyFont="1" applyFill="1" applyBorder="1" applyAlignment="1">
      <alignment vertical="center" wrapText="1"/>
    </xf>
    <xf numFmtId="1" fontId="42" fillId="13" borderId="0" xfId="0" applyNumberFormat="1" applyFont="1" applyFill="1" applyBorder="1" applyAlignment="1">
      <alignment horizontal="center"/>
    </xf>
    <xf numFmtId="0" fontId="42" fillId="13" borderId="0" xfId="0" applyFont="1" applyFill="1" applyBorder="1"/>
    <xf numFmtId="1" fontId="42" fillId="14" borderId="0" xfId="0" applyNumberFormat="1" applyFont="1" applyFill="1" applyAlignment="1">
      <alignment horizontal="center" vertical="center" wrapText="1"/>
    </xf>
    <xf numFmtId="0" fontId="42" fillId="14" borderId="0" xfId="0" applyFont="1" applyFill="1" applyAlignment="1">
      <alignment vertical="center" wrapText="1"/>
    </xf>
    <xf numFmtId="1" fontId="41" fillId="14" borderId="0" xfId="0" applyNumberFormat="1" applyFont="1" applyFill="1" applyAlignment="1">
      <alignment horizontal="center" vertical="center" wrapText="1"/>
    </xf>
    <xf numFmtId="9" fontId="41" fillId="14" borderId="0" xfId="1" applyNumberFormat="1" applyFont="1" applyFill="1" applyAlignment="1">
      <alignment horizontal="center" vertical="center" wrapText="1"/>
    </xf>
    <xf numFmtId="0" fontId="41" fillId="14" borderId="0" xfId="0" applyFont="1" applyFill="1" applyAlignment="1">
      <alignment vertical="center" wrapText="1"/>
    </xf>
    <xf numFmtId="1" fontId="41" fillId="13" borderId="0" xfId="0" applyNumberFormat="1" applyFont="1" applyFill="1" applyBorder="1" applyAlignment="1">
      <alignment horizontal="center"/>
    </xf>
    <xf numFmtId="0" fontId="41" fillId="13" borderId="0" xfId="0" applyFont="1" applyFill="1" applyBorder="1"/>
    <xf numFmtId="0" fontId="43" fillId="0" borderId="0" xfId="0" applyFont="1"/>
    <xf numFmtId="17" fontId="44" fillId="0" borderId="5" xfId="0" applyNumberFormat="1" applyFont="1" applyBorder="1" applyAlignment="1">
      <alignment horizontal="center" vertical="center" wrapText="1"/>
    </xf>
    <xf numFmtId="0" fontId="43" fillId="0" borderId="5" xfId="0" applyFont="1" applyBorder="1"/>
    <xf numFmtId="0" fontId="43" fillId="0" borderId="0" xfId="0" applyFont="1" applyBorder="1"/>
    <xf numFmtId="0" fontId="43" fillId="0" borderId="6" xfId="0" applyFont="1" applyBorder="1"/>
    <xf numFmtId="0" fontId="14" fillId="13" borderId="0" xfId="0" applyFont="1" applyFill="1" applyAlignment="1"/>
    <xf numFmtId="0" fontId="43" fillId="0" borderId="0" xfId="0" applyFont="1" applyAlignment="1">
      <alignment horizontal="center"/>
    </xf>
    <xf numFmtId="0" fontId="46" fillId="0" borderId="0" xfId="0" applyFont="1" applyAlignment="1">
      <alignment horizontal="center"/>
    </xf>
    <xf numFmtId="0" fontId="46" fillId="0" borderId="5" xfId="0" applyFont="1" applyBorder="1" applyAlignment="1">
      <alignment horizontal="center" vertical="center" wrapText="1"/>
    </xf>
    <xf numFmtId="17" fontId="48" fillId="0" borderId="5" xfId="0" applyNumberFormat="1" applyFont="1" applyBorder="1" applyAlignment="1">
      <alignment horizontal="center" vertical="center" wrapText="1"/>
    </xf>
    <xf numFmtId="17" fontId="46" fillId="0" borderId="4" xfId="0" applyNumberFormat="1" applyFont="1" applyBorder="1" applyAlignment="1">
      <alignment horizontal="center" vertical="center" wrapText="1"/>
    </xf>
    <xf numFmtId="0" fontId="14" fillId="13" borderId="0" xfId="0" applyFont="1" applyFill="1" applyAlignment="1">
      <alignment wrapText="1"/>
    </xf>
    <xf numFmtId="3" fontId="42" fillId="14" borderId="0" xfId="0" applyNumberFormat="1" applyFont="1" applyFill="1" applyBorder="1" applyAlignment="1">
      <alignment horizontal="center" vertical="center" wrapText="1"/>
    </xf>
    <xf numFmtId="3" fontId="42" fillId="13" borderId="0" xfId="0" applyNumberFormat="1" applyFont="1" applyFill="1" applyBorder="1" applyAlignment="1">
      <alignment horizontal="center"/>
    </xf>
    <xf numFmtId="3" fontId="42" fillId="14" borderId="0" xfId="0" applyNumberFormat="1" applyFont="1" applyFill="1" applyAlignment="1">
      <alignment horizontal="center" vertical="center" wrapText="1"/>
    </xf>
    <xf numFmtId="3" fontId="41" fillId="14" borderId="0" xfId="0" applyNumberFormat="1" applyFont="1" applyFill="1" applyAlignment="1">
      <alignment horizontal="center" vertical="center" wrapText="1"/>
    </xf>
    <xf numFmtId="3" fontId="41" fillId="13" borderId="0" xfId="0" applyNumberFormat="1" applyFont="1" applyFill="1" applyBorder="1" applyAlignment="1">
      <alignment horizontal="center"/>
    </xf>
    <xf numFmtId="0" fontId="50" fillId="0" borderId="0" xfId="0" applyFont="1"/>
    <xf numFmtId="0" fontId="50" fillId="0" borderId="0" xfId="0" applyFont="1" applyAlignment="1">
      <alignment vertical="top"/>
    </xf>
    <xf numFmtId="17" fontId="46" fillId="0" borderId="4" xfId="0" applyNumberFormat="1" applyFont="1" applyBorder="1" applyAlignment="1">
      <alignment horizontal="center" vertical="center" wrapText="1"/>
    </xf>
    <xf numFmtId="17" fontId="51" fillId="0" borderId="0" xfId="0" applyNumberFormat="1" applyFont="1" applyBorder="1" applyAlignment="1">
      <alignment horizontal="center" vertical="center" wrapText="1"/>
    </xf>
    <xf numFmtId="0" fontId="4" fillId="0" borderId="5" xfId="0" applyFont="1" applyBorder="1" applyAlignment="1">
      <alignment horizontal="center"/>
    </xf>
    <xf numFmtId="0" fontId="0" fillId="5" borderId="15" xfId="0" applyFill="1" applyBorder="1" applyAlignment="1">
      <alignment horizontal="center" vertical="center"/>
    </xf>
    <xf numFmtId="0" fontId="0" fillId="5" borderId="25" xfId="0" applyFill="1" applyBorder="1" applyAlignment="1">
      <alignment horizontal="center" vertical="center"/>
    </xf>
    <xf numFmtId="0" fontId="36" fillId="0" borderId="29" xfId="0" applyFont="1" applyBorder="1" applyAlignment="1">
      <alignment horizontal="center" vertical="center" textRotation="90"/>
    </xf>
    <xf numFmtId="0" fontId="0" fillId="12" borderId="15" xfId="0" applyFill="1" applyBorder="1" applyAlignment="1">
      <alignment horizontal="center" vertical="center"/>
    </xf>
    <xf numFmtId="0" fontId="0" fillId="12" borderId="25" xfId="0" applyFill="1" applyBorder="1" applyAlignment="1">
      <alignment horizontal="center" vertical="center"/>
    </xf>
    <xf numFmtId="0" fontId="41" fillId="13" borderId="0" xfId="0" applyFont="1" applyFill="1" applyBorder="1" applyAlignment="1">
      <alignment horizontal="left" vertical="center" wrapText="1"/>
    </xf>
    <xf numFmtId="0" fontId="47" fillId="13" borderId="0" xfId="0" applyFont="1" applyFill="1" applyAlignment="1">
      <alignment horizontal="center" wrapText="1"/>
    </xf>
    <xf numFmtId="17" fontId="46" fillId="0" borderId="4" xfId="0" applyNumberFormat="1" applyFont="1" applyBorder="1" applyAlignment="1">
      <alignment horizontal="center" vertical="center" wrapText="1"/>
    </xf>
    <xf numFmtId="17" fontId="46" fillId="0" borderId="0" xfId="0" applyNumberFormat="1" applyFont="1" applyBorder="1" applyAlignment="1">
      <alignment horizontal="center" vertical="center" wrapText="1"/>
    </xf>
    <xf numFmtId="0" fontId="0" fillId="0" borderId="4" xfId="0" applyBorder="1" applyAlignment="1">
      <alignment horizontal="center" vertical="center" wrapText="1"/>
    </xf>
    <xf numFmtId="0" fontId="51" fillId="0" borderId="0" xfId="0" applyFont="1" applyAlignment="1">
      <alignment horizontal="left" wrapText="1"/>
    </xf>
    <xf numFmtId="0" fontId="14" fillId="5" borderId="0" xfId="0" applyFont="1" applyFill="1" applyAlignment="1">
      <alignment horizontal="center"/>
    </xf>
    <xf numFmtId="0" fontId="1" fillId="0" borderId="12" xfId="0" applyFont="1" applyBorder="1" applyAlignment="1">
      <alignment horizontal="left" wrapText="1"/>
    </xf>
    <xf numFmtId="167" fontId="4" fillId="2" borderId="6" xfId="0" applyNumberFormat="1" applyFont="1" applyFill="1" applyBorder="1" applyAlignment="1">
      <alignment horizontal="right"/>
    </xf>
    <xf numFmtId="165" fontId="12" fillId="0" borderId="13" xfId="0" applyNumberFormat="1" applyFont="1" applyBorder="1" applyAlignment="1">
      <alignment horizontal="center" vertical="center" wrapText="1"/>
    </xf>
    <xf numFmtId="165" fontId="12" fillId="0" borderId="16" xfId="0" applyNumberFormat="1" applyFont="1" applyBorder="1" applyAlignment="1">
      <alignment horizontal="center" vertical="center" wrapText="1"/>
    </xf>
    <xf numFmtId="166" fontId="0" fillId="2" borderId="0" xfId="0" applyNumberFormat="1" applyFill="1" applyAlignment="1">
      <alignment horizontal="right"/>
    </xf>
    <xf numFmtId="0" fontId="0" fillId="5" borderId="6" xfId="0" applyFont="1" applyFill="1" applyBorder="1" applyAlignment="1">
      <alignment horizontal="left"/>
    </xf>
    <xf numFmtId="165" fontId="12" fillId="0" borderId="2" xfId="0" applyNumberFormat="1" applyFont="1" applyBorder="1" applyAlignment="1">
      <alignment horizontal="center" vertical="center" wrapText="1"/>
    </xf>
    <xf numFmtId="165" fontId="12" fillId="0" borderId="11" xfId="0" applyNumberFormat="1" applyFont="1" applyBorder="1" applyAlignment="1">
      <alignment horizontal="center" vertical="center" wrapText="1"/>
    </xf>
    <xf numFmtId="0" fontId="0" fillId="0" borderId="0" xfId="0" applyAlignment="1">
      <alignment horizontal="left"/>
    </xf>
    <xf numFmtId="167" fontId="4" fillId="2" borderId="0" xfId="0" applyNumberFormat="1" applyFont="1" applyFill="1" applyBorder="1" applyAlignment="1">
      <alignment horizontal="right"/>
    </xf>
    <xf numFmtId="0" fontId="0" fillId="0" borderId="5" xfId="0" applyBorder="1" applyAlignment="1">
      <alignment horizontal="left"/>
    </xf>
    <xf numFmtId="167" fontId="4" fillId="2" borderId="6" xfId="0" applyNumberFormat="1" applyFont="1" applyFill="1" applyBorder="1" applyAlignment="1">
      <alignment horizontal="center"/>
    </xf>
    <xf numFmtId="166" fontId="0" fillId="2" borderId="0" xfId="0" applyNumberFormat="1" applyFill="1" applyAlignment="1">
      <alignment horizontal="center"/>
    </xf>
    <xf numFmtId="0" fontId="13" fillId="5" borderId="0" xfId="0" applyFont="1" applyFill="1" applyAlignment="1">
      <alignment horizontal="center" vertical="center"/>
    </xf>
    <xf numFmtId="0" fontId="13" fillId="5" borderId="3" xfId="0" applyFont="1" applyFill="1" applyBorder="1" applyAlignment="1">
      <alignment horizontal="center" vertical="center"/>
    </xf>
    <xf numFmtId="0" fontId="5" fillId="0" borderId="6" xfId="0" applyFont="1" applyBorder="1" applyAlignment="1">
      <alignment horizontal="right"/>
    </xf>
    <xf numFmtId="0" fontId="4" fillId="2" borderId="0" xfId="0" applyFont="1" applyFill="1" applyAlignment="1">
      <alignment horizontal="center" vertical="center" wrapText="1"/>
    </xf>
    <xf numFmtId="0" fontId="38" fillId="11" borderId="0" xfId="0" applyFont="1" applyFill="1" applyAlignment="1">
      <alignment horizontal="center"/>
    </xf>
    <xf numFmtId="0" fontId="4" fillId="2" borderId="6" xfId="0" applyFont="1" applyFill="1" applyBorder="1" applyAlignment="1">
      <alignment horizontal="center" vertical="center"/>
    </xf>
  </cellXfs>
  <cellStyles count="317">
    <cellStyle name="Lien hypertexte" xfId="2" builtinId="8"/>
    <cellStyle name="Lien hypertexte visité" xfId="3" builtinId="9" hidden="1"/>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21" builtinId="9" hidden="1"/>
    <cellStyle name="Lien hypertexte visité" xfId="22" builtinId="9" hidden="1"/>
    <cellStyle name="Lien hypertexte visité" xfId="23" builtinId="9" hidden="1"/>
    <cellStyle name="Lien hypertexte visité" xfId="24" builtinId="9" hidden="1"/>
    <cellStyle name="Lien hypertexte visité" xfId="25" builtinId="9" hidden="1"/>
    <cellStyle name="Lien hypertexte visité" xfId="26" builtinId="9" hidden="1"/>
    <cellStyle name="Lien hypertexte visité" xfId="27" builtinId="9" hidden="1"/>
    <cellStyle name="Lien hypertexte visité" xfId="28" builtinId="9" hidden="1"/>
    <cellStyle name="Lien hypertexte visité" xfId="29" builtinId="9" hidden="1"/>
    <cellStyle name="Lien hypertexte visité" xfId="30" builtinId="9" hidden="1"/>
    <cellStyle name="Lien hypertexte visité" xfId="31" builtinId="9" hidden="1"/>
    <cellStyle name="Lien hypertexte visité" xfId="32" builtinId="9" hidden="1"/>
    <cellStyle name="Lien hypertexte visité" xfId="33" builtinId="9" hidden="1"/>
    <cellStyle name="Lien hypertexte visité" xfId="34" builtinId="9" hidden="1"/>
    <cellStyle name="Lien hypertexte visité" xfId="35" builtinId="9" hidden="1"/>
    <cellStyle name="Lien hypertexte visité" xfId="36" builtinId="9" hidden="1"/>
    <cellStyle name="Lien hypertexte visité" xfId="37" builtinId="9" hidden="1"/>
    <cellStyle name="Lien hypertexte visité" xfId="38" builtinId="9" hidden="1"/>
    <cellStyle name="Lien hypertexte visité" xfId="39" builtinId="9" hidden="1"/>
    <cellStyle name="Lien hypertexte visité" xfId="40" builtinId="9" hidden="1"/>
    <cellStyle name="Lien hypertexte visité" xfId="41" builtinId="9" hidden="1"/>
    <cellStyle name="Lien hypertexte visité" xfId="42" builtinId="9" hidden="1"/>
    <cellStyle name="Lien hypertexte visité" xfId="43" builtinId="9" hidden="1"/>
    <cellStyle name="Lien hypertexte visité" xfId="44" builtinId="9" hidden="1"/>
    <cellStyle name="Lien hypertexte visité" xfId="45" builtinId="9" hidden="1"/>
    <cellStyle name="Lien hypertexte visité" xfId="46" builtinId="9" hidden="1"/>
    <cellStyle name="Lien hypertexte visité" xfId="47" builtinId="9" hidden="1"/>
    <cellStyle name="Lien hypertexte visité" xfId="48" builtinId="9" hidden="1"/>
    <cellStyle name="Lien hypertexte visité" xfId="49" builtinId="9" hidden="1"/>
    <cellStyle name="Lien hypertexte visité" xfId="50" builtinId="9" hidden="1"/>
    <cellStyle name="Lien hypertexte visité" xfId="51" builtinId="9" hidden="1"/>
    <cellStyle name="Lien hypertexte visité" xfId="52" builtinId="9" hidden="1"/>
    <cellStyle name="Lien hypertexte visité" xfId="53" builtinId="9" hidden="1"/>
    <cellStyle name="Lien hypertexte visité" xfId="54" builtinId="9" hidden="1"/>
    <cellStyle name="Lien hypertexte visité" xfId="55" builtinId="9" hidden="1"/>
    <cellStyle name="Lien hypertexte visité" xfId="56" builtinId="9" hidden="1"/>
    <cellStyle name="Lien hypertexte visité" xfId="57" builtinId="9" hidden="1"/>
    <cellStyle name="Lien hypertexte visité" xfId="58" builtinId="9" hidden="1"/>
    <cellStyle name="Lien hypertexte visité" xfId="59" builtinId="9" hidden="1"/>
    <cellStyle name="Lien hypertexte visité" xfId="60" builtinId="9" hidden="1"/>
    <cellStyle name="Lien hypertexte visité" xfId="61" builtinId="9" hidden="1"/>
    <cellStyle name="Lien hypertexte visité" xfId="62" builtinId="9" hidden="1"/>
    <cellStyle name="Lien hypertexte visité" xfId="63" builtinId="9" hidden="1"/>
    <cellStyle name="Lien hypertexte visité" xfId="64" builtinId="9" hidden="1"/>
    <cellStyle name="Lien hypertexte visité" xfId="65" builtinId="9" hidden="1"/>
    <cellStyle name="Lien hypertexte visité" xfId="66" builtinId="9" hidden="1"/>
    <cellStyle name="Lien hypertexte visité" xfId="67" builtinId="9" hidden="1"/>
    <cellStyle name="Lien hypertexte visité" xfId="68" builtinId="9" hidden="1"/>
    <cellStyle name="Lien hypertexte visité" xfId="69" builtinId="9" hidden="1"/>
    <cellStyle name="Lien hypertexte visité" xfId="70" builtinId="9" hidden="1"/>
    <cellStyle name="Lien hypertexte visité" xfId="71" builtinId="9" hidden="1"/>
    <cellStyle name="Lien hypertexte visité" xfId="72" builtinId="9" hidden="1"/>
    <cellStyle name="Lien hypertexte visité" xfId="73" builtinId="9" hidden="1"/>
    <cellStyle name="Lien hypertexte visité" xfId="74" builtinId="9" hidden="1"/>
    <cellStyle name="Lien hypertexte visité" xfId="75" builtinId="9" hidden="1"/>
    <cellStyle name="Lien hypertexte visité" xfId="76" builtinId="9" hidden="1"/>
    <cellStyle name="Lien hypertexte visité" xfId="77" builtinId="9" hidden="1"/>
    <cellStyle name="Lien hypertexte visité" xfId="78" builtinId="9" hidden="1"/>
    <cellStyle name="Lien hypertexte visité" xfId="79" builtinId="9" hidden="1"/>
    <cellStyle name="Lien hypertexte visité" xfId="80" builtinId="9" hidden="1"/>
    <cellStyle name="Lien hypertexte visité" xfId="81" builtinId="9" hidden="1"/>
    <cellStyle name="Lien hypertexte visité" xfId="82" builtinId="9" hidden="1"/>
    <cellStyle name="Lien hypertexte visité" xfId="83" builtinId="9" hidden="1"/>
    <cellStyle name="Lien hypertexte visité" xfId="84" builtinId="9" hidden="1"/>
    <cellStyle name="Lien hypertexte visité" xfId="85" builtinId="9" hidden="1"/>
    <cellStyle name="Lien hypertexte visité" xfId="86" builtinId="9" hidden="1"/>
    <cellStyle name="Lien hypertexte visité" xfId="87" builtinId="9" hidden="1"/>
    <cellStyle name="Lien hypertexte visité" xfId="88" builtinId="9" hidden="1"/>
    <cellStyle name="Lien hypertexte visité" xfId="89" builtinId="9" hidden="1"/>
    <cellStyle name="Lien hypertexte visité" xfId="90" builtinId="9" hidden="1"/>
    <cellStyle name="Lien hypertexte visité" xfId="91" builtinId="9" hidden="1"/>
    <cellStyle name="Lien hypertexte visité" xfId="92" builtinId="9" hidden="1"/>
    <cellStyle name="Lien hypertexte visité" xfId="93" builtinId="9" hidden="1"/>
    <cellStyle name="Lien hypertexte visité" xfId="94" builtinId="9" hidden="1"/>
    <cellStyle name="Lien hypertexte visité" xfId="95" builtinId="9" hidden="1"/>
    <cellStyle name="Lien hypertexte visité" xfId="96" builtinId="9" hidden="1"/>
    <cellStyle name="Lien hypertexte visité" xfId="97" builtinId="9" hidden="1"/>
    <cellStyle name="Lien hypertexte visité" xfId="98" builtinId="9" hidden="1"/>
    <cellStyle name="Lien hypertexte visité" xfId="99" builtinId="9" hidden="1"/>
    <cellStyle name="Lien hypertexte visité" xfId="100" builtinId="9" hidden="1"/>
    <cellStyle name="Lien hypertexte visité" xfId="101" builtinId="9" hidden="1"/>
    <cellStyle name="Lien hypertexte visité" xfId="102" builtinId="9" hidden="1"/>
    <cellStyle name="Lien hypertexte visité" xfId="103" builtinId="9" hidden="1"/>
    <cellStyle name="Lien hypertexte visité" xfId="104" builtinId="9" hidden="1"/>
    <cellStyle name="Lien hypertexte visité" xfId="105" builtinId="9" hidden="1"/>
    <cellStyle name="Lien hypertexte visité" xfId="106" builtinId="9" hidden="1"/>
    <cellStyle name="Lien hypertexte visité" xfId="107" builtinId="9" hidden="1"/>
    <cellStyle name="Lien hypertexte visité" xfId="108" builtinId="9" hidden="1"/>
    <cellStyle name="Lien hypertexte visité" xfId="109" builtinId="9" hidden="1"/>
    <cellStyle name="Lien hypertexte visité" xfId="110" builtinId="9" hidden="1"/>
    <cellStyle name="Lien hypertexte visité" xfId="111" builtinId="9" hidden="1"/>
    <cellStyle name="Lien hypertexte visité" xfId="112" builtinId="9" hidden="1"/>
    <cellStyle name="Lien hypertexte visité" xfId="113" builtinId="9" hidden="1"/>
    <cellStyle name="Lien hypertexte visité" xfId="114" builtinId="9" hidden="1"/>
    <cellStyle name="Lien hypertexte visité" xfId="115" builtinId="9" hidden="1"/>
    <cellStyle name="Lien hypertexte visité" xfId="116" builtinId="9" hidden="1"/>
    <cellStyle name="Lien hypertexte visité" xfId="117" builtinId="9" hidden="1"/>
    <cellStyle name="Lien hypertexte visité" xfId="118" builtinId="9" hidden="1"/>
    <cellStyle name="Lien hypertexte visité" xfId="119" builtinId="9" hidden="1"/>
    <cellStyle name="Lien hypertexte visité" xfId="120" builtinId="9" hidden="1"/>
    <cellStyle name="Lien hypertexte visité" xfId="121" builtinId="9" hidden="1"/>
    <cellStyle name="Lien hypertexte visité" xfId="122" builtinId="9" hidden="1"/>
    <cellStyle name="Lien hypertexte visité" xfId="123" builtinId="9" hidden="1"/>
    <cellStyle name="Lien hypertexte visité" xfId="124" builtinId="9" hidden="1"/>
    <cellStyle name="Lien hypertexte visité" xfId="125" builtinId="9" hidden="1"/>
    <cellStyle name="Lien hypertexte visité" xfId="126" builtinId="9" hidden="1"/>
    <cellStyle name="Lien hypertexte visité" xfId="127" builtinId="9" hidden="1"/>
    <cellStyle name="Lien hypertexte visité" xfId="128" builtinId="9" hidden="1"/>
    <cellStyle name="Lien hypertexte visité" xfId="129" builtinId="9" hidden="1"/>
    <cellStyle name="Lien hypertexte visité" xfId="130" builtinId="9" hidden="1"/>
    <cellStyle name="Lien hypertexte visité" xfId="131" builtinId="9" hidden="1"/>
    <cellStyle name="Lien hypertexte visité" xfId="132" builtinId="9" hidden="1"/>
    <cellStyle name="Lien hypertexte visité" xfId="133" builtinId="9" hidden="1"/>
    <cellStyle name="Lien hypertexte visité" xfId="134" builtinId="9" hidden="1"/>
    <cellStyle name="Lien hypertexte visité" xfId="135" builtinId="9" hidden="1"/>
    <cellStyle name="Lien hypertexte visité" xfId="136" builtinId="9" hidden="1"/>
    <cellStyle name="Lien hypertexte visité" xfId="137" builtinId="9" hidden="1"/>
    <cellStyle name="Lien hypertexte visité" xfId="138" builtinId="9" hidden="1"/>
    <cellStyle name="Lien hypertexte visité" xfId="139" builtinId="9" hidden="1"/>
    <cellStyle name="Lien hypertexte visité" xfId="140" builtinId="9" hidden="1"/>
    <cellStyle name="Lien hypertexte visité" xfId="141" builtinId="9" hidden="1"/>
    <cellStyle name="Lien hypertexte visité" xfId="142" builtinId="9" hidden="1"/>
    <cellStyle name="Lien hypertexte visité" xfId="143" builtinId="9" hidden="1"/>
    <cellStyle name="Lien hypertexte visité" xfId="144" builtinId="9" hidden="1"/>
    <cellStyle name="Lien hypertexte visité" xfId="145" builtinId="9" hidden="1"/>
    <cellStyle name="Lien hypertexte visité" xfId="146" builtinId="9" hidden="1"/>
    <cellStyle name="Lien hypertexte visité" xfId="147" builtinId="9" hidden="1"/>
    <cellStyle name="Lien hypertexte visité" xfId="148" builtinId="9" hidden="1"/>
    <cellStyle name="Lien hypertexte visité" xfId="149" builtinId="9" hidden="1"/>
    <cellStyle name="Lien hypertexte visité" xfId="150" builtinId="9" hidden="1"/>
    <cellStyle name="Lien hypertexte visité" xfId="151" builtinId="9" hidden="1"/>
    <cellStyle name="Lien hypertexte visité" xfId="152" builtinId="9" hidden="1"/>
    <cellStyle name="Lien hypertexte visité" xfId="153" builtinId="9" hidden="1"/>
    <cellStyle name="Lien hypertexte visité" xfId="154" builtinId="9" hidden="1"/>
    <cellStyle name="Lien hypertexte visité" xfId="155" builtinId="9" hidden="1"/>
    <cellStyle name="Lien hypertexte visité" xfId="156" builtinId="9" hidden="1"/>
    <cellStyle name="Lien hypertexte visité" xfId="157" builtinId="9" hidden="1"/>
    <cellStyle name="Lien hypertexte visité" xfId="158" builtinId="9" hidden="1"/>
    <cellStyle name="Lien hypertexte visité" xfId="159" builtinId="9" hidden="1"/>
    <cellStyle name="Lien hypertexte visité" xfId="160" builtinId="9" hidden="1"/>
    <cellStyle name="Lien hypertexte visité" xfId="161" builtinId="9" hidden="1"/>
    <cellStyle name="Lien hypertexte visité" xfId="162" builtinId="9" hidden="1"/>
    <cellStyle name="Lien hypertexte visité" xfId="163" builtinId="9" hidden="1"/>
    <cellStyle name="Lien hypertexte visité" xfId="164" builtinId="9" hidden="1"/>
    <cellStyle name="Lien hypertexte visité" xfId="165" builtinId="9" hidden="1"/>
    <cellStyle name="Lien hypertexte visité" xfId="166" builtinId="9" hidden="1"/>
    <cellStyle name="Lien hypertexte visité" xfId="167" builtinId="9" hidden="1"/>
    <cellStyle name="Lien hypertexte visité" xfId="168" builtinId="9" hidden="1"/>
    <cellStyle name="Lien hypertexte visité" xfId="169" builtinId="9" hidden="1"/>
    <cellStyle name="Lien hypertexte visité" xfId="170" builtinId="9" hidden="1"/>
    <cellStyle name="Lien hypertexte visité" xfId="171" builtinId="9" hidden="1"/>
    <cellStyle name="Lien hypertexte visité" xfId="172" builtinId="9" hidden="1"/>
    <cellStyle name="Lien hypertexte visité" xfId="173" builtinId="9" hidden="1"/>
    <cellStyle name="Lien hypertexte visité" xfId="174" builtinId="9" hidden="1"/>
    <cellStyle name="Lien hypertexte visité" xfId="175" builtinId="9" hidden="1"/>
    <cellStyle name="Lien hypertexte visité" xfId="176" builtinId="9" hidden="1"/>
    <cellStyle name="Lien hypertexte visité" xfId="177" builtinId="9" hidden="1"/>
    <cellStyle name="Lien hypertexte visité" xfId="178" builtinId="9" hidden="1"/>
    <cellStyle name="Lien hypertexte visité" xfId="179" builtinId="9" hidden="1"/>
    <cellStyle name="Lien hypertexte visité" xfId="180" builtinId="9" hidden="1"/>
    <cellStyle name="Lien hypertexte visité" xfId="181" builtinId="9" hidden="1"/>
    <cellStyle name="Lien hypertexte visité" xfId="182" builtinId="9" hidden="1"/>
    <cellStyle name="Lien hypertexte visité" xfId="183" builtinId="9" hidden="1"/>
    <cellStyle name="Lien hypertexte visité" xfId="184" builtinId="9" hidden="1"/>
    <cellStyle name="Lien hypertexte visité" xfId="185" builtinId="9" hidden="1"/>
    <cellStyle name="Lien hypertexte visité" xfId="186" builtinId="9" hidden="1"/>
    <cellStyle name="Lien hypertexte visité" xfId="187" builtinId="9" hidden="1"/>
    <cellStyle name="Lien hypertexte visité" xfId="188" builtinId="9" hidden="1"/>
    <cellStyle name="Lien hypertexte visité" xfId="189" builtinId="9" hidden="1"/>
    <cellStyle name="Lien hypertexte visité" xfId="190" builtinId="9" hidden="1"/>
    <cellStyle name="Lien hypertexte visité" xfId="191" builtinId="9" hidden="1"/>
    <cellStyle name="Lien hypertexte visité" xfId="192" builtinId="9" hidden="1"/>
    <cellStyle name="Lien hypertexte visité" xfId="193" builtinId="9" hidden="1"/>
    <cellStyle name="Lien hypertexte visité" xfId="194" builtinId="9" hidden="1"/>
    <cellStyle name="Lien hypertexte visité" xfId="195" builtinId="9" hidden="1"/>
    <cellStyle name="Lien hypertexte visité" xfId="196" builtinId="9" hidden="1"/>
    <cellStyle name="Lien hypertexte visité" xfId="197" builtinId="9" hidden="1"/>
    <cellStyle name="Lien hypertexte visité" xfId="198" builtinId="9" hidden="1"/>
    <cellStyle name="Lien hypertexte visité" xfId="199" builtinId="9" hidden="1"/>
    <cellStyle name="Lien hypertexte visité" xfId="200" builtinId="9" hidden="1"/>
    <cellStyle name="Lien hypertexte visité" xfId="201" builtinId="9" hidden="1"/>
    <cellStyle name="Lien hypertexte visité" xfId="202" builtinId="9" hidden="1"/>
    <cellStyle name="Lien hypertexte visité" xfId="203" builtinId="9" hidden="1"/>
    <cellStyle name="Lien hypertexte visité" xfId="204" builtinId="9" hidden="1"/>
    <cellStyle name="Lien hypertexte visité" xfId="205" builtinId="9" hidden="1"/>
    <cellStyle name="Lien hypertexte visité" xfId="206" builtinId="9" hidden="1"/>
    <cellStyle name="Lien hypertexte visité" xfId="207" builtinId="9" hidden="1"/>
    <cellStyle name="Lien hypertexte visité" xfId="208" builtinId="9" hidden="1"/>
    <cellStyle name="Lien hypertexte visité" xfId="209" builtinId="9" hidden="1"/>
    <cellStyle name="Lien hypertexte visité" xfId="210" builtinId="9" hidden="1"/>
    <cellStyle name="Lien hypertexte visité" xfId="211" builtinId="9" hidden="1"/>
    <cellStyle name="Lien hypertexte visité" xfId="212" builtinId="9" hidden="1"/>
    <cellStyle name="Lien hypertexte visité" xfId="213" builtinId="9" hidden="1"/>
    <cellStyle name="Lien hypertexte visité" xfId="214" builtinId="9" hidden="1"/>
    <cellStyle name="Lien hypertexte visité" xfId="215" builtinId="9" hidden="1"/>
    <cellStyle name="Lien hypertexte visité" xfId="216" builtinId="9" hidden="1"/>
    <cellStyle name="Lien hypertexte visité" xfId="217" builtinId="9" hidden="1"/>
    <cellStyle name="Lien hypertexte visité" xfId="218" builtinId="9" hidden="1"/>
    <cellStyle name="Lien hypertexte visité" xfId="219" builtinId="9" hidden="1"/>
    <cellStyle name="Lien hypertexte visité" xfId="220" builtinId="9" hidden="1"/>
    <cellStyle name="Lien hypertexte visité" xfId="221" builtinId="9" hidden="1"/>
    <cellStyle name="Lien hypertexte visité" xfId="222" builtinId="9" hidden="1"/>
    <cellStyle name="Lien hypertexte visité" xfId="223" builtinId="9" hidden="1"/>
    <cellStyle name="Lien hypertexte visité" xfId="224" builtinId="9" hidden="1"/>
    <cellStyle name="Lien hypertexte visité" xfId="225" builtinId="9" hidden="1"/>
    <cellStyle name="Lien hypertexte visité" xfId="226" builtinId="9" hidden="1"/>
    <cellStyle name="Lien hypertexte visité" xfId="227" builtinId="9" hidden="1"/>
    <cellStyle name="Lien hypertexte visité" xfId="228" builtinId="9" hidden="1"/>
    <cellStyle name="Lien hypertexte visité" xfId="229" builtinId="9" hidden="1"/>
    <cellStyle name="Lien hypertexte visité" xfId="230" builtinId="9" hidden="1"/>
    <cellStyle name="Lien hypertexte visité" xfId="231" builtinId="9" hidden="1"/>
    <cellStyle name="Lien hypertexte visité" xfId="232" builtinId="9" hidden="1"/>
    <cellStyle name="Lien hypertexte visité" xfId="233" builtinId="9" hidden="1"/>
    <cellStyle name="Lien hypertexte visité" xfId="234" builtinId="9" hidden="1"/>
    <cellStyle name="Lien hypertexte visité" xfId="235" builtinId="9" hidden="1"/>
    <cellStyle name="Lien hypertexte visité" xfId="236" builtinId="9" hidden="1"/>
    <cellStyle name="Lien hypertexte visité" xfId="237" builtinId="9" hidden="1"/>
    <cellStyle name="Lien hypertexte visité" xfId="238" builtinId="9" hidden="1"/>
    <cellStyle name="Lien hypertexte visité" xfId="239" builtinId="9" hidden="1"/>
    <cellStyle name="Lien hypertexte visité" xfId="240" builtinId="9" hidden="1"/>
    <cellStyle name="Lien hypertexte visité" xfId="241" builtinId="9" hidden="1"/>
    <cellStyle name="Lien hypertexte visité" xfId="242" builtinId="9" hidden="1"/>
    <cellStyle name="Lien hypertexte visité" xfId="243" builtinId="9" hidden="1"/>
    <cellStyle name="Lien hypertexte visité" xfId="244" builtinId="9" hidden="1"/>
    <cellStyle name="Lien hypertexte visité" xfId="245" builtinId="9" hidden="1"/>
    <cellStyle name="Lien hypertexte visité" xfId="246" builtinId="9" hidden="1"/>
    <cellStyle name="Lien hypertexte visité" xfId="247" builtinId="9" hidden="1"/>
    <cellStyle name="Lien hypertexte visité" xfId="248" builtinId="9" hidden="1"/>
    <cellStyle name="Lien hypertexte visité" xfId="249" builtinId="9" hidden="1"/>
    <cellStyle name="Lien hypertexte visité" xfId="250" builtinId="9" hidden="1"/>
    <cellStyle name="Lien hypertexte visité" xfId="251" builtinId="9" hidden="1"/>
    <cellStyle name="Lien hypertexte visité" xfId="252" builtinId="9" hidden="1"/>
    <cellStyle name="Lien hypertexte visité" xfId="253" builtinId="9" hidden="1"/>
    <cellStyle name="Lien hypertexte visité" xfId="254" builtinId="9" hidden="1"/>
    <cellStyle name="Lien hypertexte visité" xfId="255" builtinId="9" hidden="1"/>
    <cellStyle name="Lien hypertexte visité" xfId="256" builtinId="9" hidden="1"/>
    <cellStyle name="Lien hypertexte visité" xfId="257" builtinId="9" hidden="1"/>
    <cellStyle name="Lien hypertexte visité" xfId="258" builtinId="9" hidden="1"/>
    <cellStyle name="Lien hypertexte visité" xfId="259" builtinId="9" hidden="1"/>
    <cellStyle name="Lien hypertexte visité" xfId="260" builtinId="9" hidden="1"/>
    <cellStyle name="Lien hypertexte visité" xfId="261" builtinId="9" hidden="1"/>
    <cellStyle name="Lien hypertexte visité" xfId="262" builtinId="9" hidden="1"/>
    <cellStyle name="Lien hypertexte visité" xfId="263" builtinId="9" hidden="1"/>
    <cellStyle name="Lien hypertexte visité" xfId="264" builtinId="9" hidden="1"/>
    <cellStyle name="Lien hypertexte visité" xfId="265" builtinId="9" hidden="1"/>
    <cellStyle name="Lien hypertexte visité" xfId="266" builtinId="9" hidden="1"/>
    <cellStyle name="Lien hypertexte visité" xfId="267" builtinId="9" hidden="1"/>
    <cellStyle name="Lien hypertexte visité" xfId="268" builtinId="9" hidden="1"/>
    <cellStyle name="Lien hypertexte visité" xfId="269" builtinId="9" hidden="1"/>
    <cellStyle name="Lien hypertexte visité" xfId="270" builtinId="9" hidden="1"/>
    <cellStyle name="Lien hypertexte visité" xfId="271" builtinId="9" hidden="1"/>
    <cellStyle name="Lien hypertexte visité" xfId="272" builtinId="9" hidden="1"/>
    <cellStyle name="Lien hypertexte visité" xfId="273" builtinId="9" hidden="1"/>
    <cellStyle name="Lien hypertexte visité" xfId="274" builtinId="9" hidden="1"/>
    <cellStyle name="Lien hypertexte visité" xfId="275" builtinId="9" hidden="1"/>
    <cellStyle name="Lien hypertexte visité" xfId="276" builtinId="9" hidden="1"/>
    <cellStyle name="Lien hypertexte visité" xfId="277" builtinId="9" hidden="1"/>
    <cellStyle name="Lien hypertexte visité" xfId="278" builtinId="9" hidden="1"/>
    <cellStyle name="Lien hypertexte visité" xfId="279" builtinId="9" hidden="1"/>
    <cellStyle name="Lien hypertexte visité" xfId="280" builtinId="9" hidden="1"/>
    <cellStyle name="Lien hypertexte visité" xfId="281" builtinId="9" hidden="1"/>
    <cellStyle name="Lien hypertexte visité" xfId="282" builtinId="9" hidden="1"/>
    <cellStyle name="Lien hypertexte visité" xfId="283" builtinId="9" hidden="1"/>
    <cellStyle name="Lien hypertexte visité" xfId="284" builtinId="9" hidden="1"/>
    <cellStyle name="Lien hypertexte visité" xfId="285" builtinId="9" hidden="1"/>
    <cellStyle name="Lien hypertexte visité" xfId="286" builtinId="9" hidden="1"/>
    <cellStyle name="Lien hypertexte visité" xfId="287" builtinId="9" hidden="1"/>
    <cellStyle name="Lien hypertexte visité" xfId="288" builtinId="9" hidden="1"/>
    <cellStyle name="Lien hypertexte visité" xfId="289" builtinId="9" hidden="1"/>
    <cellStyle name="Lien hypertexte visité" xfId="290" builtinId="9" hidden="1"/>
    <cellStyle name="Lien hypertexte visité" xfId="291" builtinId="9" hidden="1"/>
    <cellStyle name="Lien hypertexte visité" xfId="292" builtinId="9" hidden="1"/>
    <cellStyle name="Lien hypertexte visité" xfId="293" builtinId="9" hidden="1"/>
    <cellStyle name="Lien hypertexte visité" xfId="294" builtinId="9" hidden="1"/>
    <cellStyle name="Lien hypertexte visité" xfId="295" builtinId="9" hidden="1"/>
    <cellStyle name="Lien hypertexte visité" xfId="296" builtinId="9" hidden="1"/>
    <cellStyle name="Lien hypertexte visité" xfId="297" builtinId="9" hidden="1"/>
    <cellStyle name="Lien hypertexte visité" xfId="298" builtinId="9" hidden="1"/>
    <cellStyle name="Lien hypertexte visité" xfId="299" builtinId="9" hidden="1"/>
    <cellStyle name="Lien hypertexte visité" xfId="300" builtinId="9" hidden="1"/>
    <cellStyle name="Lien hypertexte visité" xfId="301" builtinId="9" hidden="1"/>
    <cellStyle name="Lien hypertexte visité" xfId="302" builtinId="9" hidden="1"/>
    <cellStyle name="Lien hypertexte visité" xfId="303" builtinId="9" hidden="1"/>
    <cellStyle name="Lien hypertexte visité" xfId="304" builtinId="9" hidden="1"/>
    <cellStyle name="Lien hypertexte visité" xfId="305" builtinId="9" hidden="1"/>
    <cellStyle name="Lien hypertexte visité" xfId="306" builtinId="9" hidden="1"/>
    <cellStyle name="Lien hypertexte visité" xfId="307" builtinId="9" hidden="1"/>
    <cellStyle name="Lien hypertexte visité" xfId="308" builtinId="9" hidden="1"/>
    <cellStyle name="Lien hypertexte visité" xfId="309" builtinId="9" hidden="1"/>
    <cellStyle name="Lien hypertexte visité" xfId="310" builtinId="9" hidden="1"/>
    <cellStyle name="Lien hypertexte visité" xfId="311" builtinId="9" hidden="1"/>
    <cellStyle name="Lien hypertexte visité" xfId="312" builtinId="9" hidden="1"/>
    <cellStyle name="Lien hypertexte visité" xfId="313" builtinId="9" hidden="1"/>
    <cellStyle name="Lien hypertexte visité" xfId="314" builtinId="9" hidden="1"/>
    <cellStyle name="Lien hypertexte visité" xfId="315" builtinId="9" hidden="1"/>
    <cellStyle name="Lien hypertexte visité" xfId="316" builtinId="9" hidden="1"/>
    <cellStyle name="Normal" xfId="0" builtinId="0"/>
    <cellStyle name="Pourcentage" xfId="1" builtinId="5"/>
  </cellStyles>
  <dxfs count="86">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strike val="0"/>
        <outline val="0"/>
        <shadow val="0"/>
        <u val="none"/>
        <vertAlign val="baseline"/>
        <sz val="11"/>
        <name val="Calibri"/>
        <scheme val="minor"/>
      </font>
      <alignment horizontal="center" vertical="center" textRotation="0" wrapText="1" indent="0" justifyLastLine="0" shrinkToFit="0"/>
    </dxf>
    <dxf>
      <font>
        <strike val="0"/>
        <outline val="0"/>
        <shadow val="0"/>
        <u val="none"/>
        <vertAlign val="baseline"/>
        <sz val="11"/>
        <name val="Calibri"/>
        <scheme val="minor"/>
      </font>
      <alignment vertical="center" textRotation="0" wrapText="1" justifyLastLine="0" shrinkToFit="0"/>
    </dxf>
    <dxf>
      <font>
        <b val="0"/>
        <i val="0"/>
        <strike val="0"/>
        <condense val="0"/>
        <extend val="0"/>
        <outline val="0"/>
        <shadow val="0"/>
        <u val="none"/>
        <vertAlign val="baseline"/>
        <sz val="12"/>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
      <alignment horizontal="center" vertical="bottom" textRotation="0" wrapText="0" indent="0" justifyLastLine="0" shrinkToFit="0" readingOrder="0"/>
    </dxf>
    <dxf>
      <font>
        <strike val="0"/>
        <outline val="0"/>
        <shadow val="0"/>
        <u val="none"/>
        <vertAlign val="baseline"/>
        <sz val="11"/>
        <name val="Calibri"/>
        <scheme val="minor"/>
      </font>
      <alignment horizontal="center" vertical="center" textRotation="0" wrapText="1" indent="0" justifyLastLine="0" shrinkToFit="0" readingOrder="0"/>
    </dxf>
    <dxf>
      <font>
        <strike val="0"/>
        <outline val="0"/>
        <shadow val="0"/>
        <u val="none"/>
        <vertAlign val="baseline"/>
        <sz val="11"/>
        <name val="Calibri"/>
        <scheme val="minor"/>
      </font>
      <alignment vertical="center" textRotation="0" wrapText="1" justifyLastLine="0" shrinkToFit="0"/>
    </dxf>
    <dxf>
      <font>
        <strike val="0"/>
        <outline val="0"/>
        <shadow val="0"/>
        <u val="none"/>
        <vertAlign val="baseline"/>
        <sz val="11"/>
        <name val="Calibri"/>
        <scheme val="minor"/>
      </font>
      <alignment vertical="center" textRotation="0" wrapText="1" justifyLastLine="0" shrinkToFit="0"/>
    </dxf>
    <dxf>
      <font>
        <strike val="0"/>
        <outline val="0"/>
        <shadow val="0"/>
        <u val="none"/>
        <vertAlign val="baseline"/>
        <sz val="11"/>
        <name val="Calibri"/>
        <scheme val="minor"/>
      </font>
      <alignment horizontal="center" vertical="center" textRotation="0" indent="0" justifyLastLine="0" shrinkToFit="0"/>
    </dxf>
    <dxf>
      <font>
        <strike val="0"/>
        <outline val="0"/>
        <shadow val="0"/>
        <u val="none"/>
        <vertAlign val="baseline"/>
        <sz val="11"/>
        <name val="Calibri"/>
        <scheme val="minor"/>
      </font>
      <alignment horizontal="center" vertical="center" textRotation="0" wrapText="1" indent="0" justifyLastLine="0" shrinkToFit="0"/>
    </dxf>
    <dxf>
      <font>
        <strike val="0"/>
        <outline val="0"/>
        <shadow val="0"/>
        <u val="none"/>
        <vertAlign val="baseline"/>
        <sz val="11"/>
        <name val="Calibri"/>
        <scheme val="minor"/>
      </font>
      <alignment vertical="center" textRotation="0" wrapText="1" justifyLastLine="0" shrinkToFit="0"/>
    </dxf>
    <dxf>
      <font>
        <b val="0"/>
        <i val="0"/>
        <strike val="0"/>
        <condense val="0"/>
        <extend val="0"/>
        <outline val="0"/>
        <shadow val="0"/>
        <u val="none"/>
        <vertAlign val="baseline"/>
        <sz val="12"/>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
      <alignment horizontal="center" vertical="bottom" textRotation="0" wrapText="0" indent="0" justifyLastLine="0" shrinkToFit="0" readingOrder="0"/>
    </dxf>
    <dxf>
      <font>
        <strike val="0"/>
        <outline val="0"/>
        <shadow val="0"/>
        <u val="none"/>
        <vertAlign val="baseline"/>
        <sz val="11"/>
        <name val="Calibri"/>
        <scheme val="minor"/>
      </font>
      <alignment horizontal="center" vertical="center" textRotation="0" wrapText="1" indent="0" justifyLastLine="0" shrinkToFit="0" readingOrder="0"/>
    </dxf>
    <dxf>
      <font>
        <strike val="0"/>
        <outline val="0"/>
        <shadow val="0"/>
        <u val="none"/>
        <vertAlign val="baseline"/>
        <sz val="11"/>
        <name val="Calibri"/>
        <scheme val="minor"/>
      </font>
      <alignment vertical="center" textRotation="0" wrapText="1" justifyLastLine="0" shrinkToFit="0"/>
    </dxf>
    <dxf>
      <font>
        <strike val="0"/>
        <outline val="0"/>
        <shadow val="0"/>
        <u val="none"/>
        <vertAlign val="baseline"/>
        <sz val="11"/>
        <name val="Calibri"/>
        <scheme val="minor"/>
      </font>
      <alignment vertical="center" textRotation="0" wrapText="1" justifyLastLine="0" shrinkToFit="0"/>
    </dxf>
    <dxf>
      <font>
        <strike val="0"/>
        <outline val="0"/>
        <shadow val="0"/>
        <u val="none"/>
        <vertAlign val="baseline"/>
        <sz val="11"/>
        <name val="Calibri"/>
        <scheme val="minor"/>
      </font>
      <alignment horizontal="center" vertical="center" textRotation="0" indent="0" justifyLastLine="0" shrinkToFit="0"/>
    </dxf>
  </dxfs>
  <tableStyles count="0" defaultTableStyle="TableStyleMedium9" defaultPivotStyle="PivotStyleMedium4"/>
  <colors>
    <mruColors>
      <color rgb="FFFFFF00"/>
      <color rgb="FFB27B79"/>
      <color rgb="FFCB8C8A"/>
      <color rgb="FFE729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9.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31495882074199"/>
          <c:y val="9.1089948190091405E-2"/>
          <c:w val="0.59467270883086099"/>
          <c:h val="0.81782010361981705"/>
        </c:manualLayout>
      </c:layout>
      <c:doughnutChart>
        <c:varyColors val="1"/>
        <c:dLbls>
          <c:showLegendKey val="0"/>
          <c:showVal val="0"/>
          <c:showCatName val="0"/>
          <c:showSerName val="0"/>
          <c:showPercent val="0"/>
          <c:showBubbleSize val="0"/>
          <c:showLeaderLines val="0"/>
        </c:dLbls>
        <c:firstSliceAng val="270"/>
        <c:holeSize val="57"/>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doughnutChart>
        <c:varyColors val="1"/>
        <c:ser>
          <c:idx val="0"/>
          <c:order val="0"/>
          <c:spPr>
            <a:effectLst/>
          </c:spPr>
          <c:dPt>
            <c:idx val="0"/>
            <c:bubble3D val="0"/>
            <c:spPr>
              <a:solidFill>
                <a:schemeClr val="bg1">
                  <a:lumMod val="85000"/>
                </a:schemeClr>
              </a:solidFill>
              <a:effectLst/>
            </c:spPr>
          </c:dPt>
          <c:dPt>
            <c:idx val="1"/>
            <c:bubble3D val="0"/>
            <c:spPr>
              <a:solidFill>
                <a:schemeClr val="accent2">
                  <a:lumMod val="50000"/>
                </a:schemeClr>
              </a:solidFill>
              <a:effectLst/>
            </c:spPr>
          </c:dPt>
          <c:dPt>
            <c:idx val="2"/>
            <c:bubble3D val="0"/>
            <c:spPr>
              <a:solidFill>
                <a:schemeClr val="accent2">
                  <a:lumMod val="60000"/>
                  <a:lumOff val="40000"/>
                </a:schemeClr>
              </a:solidFill>
              <a:effectLst/>
            </c:spPr>
          </c:dPt>
          <c:dPt>
            <c:idx val="3"/>
            <c:bubble3D val="0"/>
            <c:spPr>
              <a:solidFill>
                <a:schemeClr val="accent3">
                  <a:lumMod val="75000"/>
                </a:schemeClr>
              </a:solidFill>
              <a:effectLst/>
            </c:spPr>
          </c:dPt>
          <c:dPt>
            <c:idx val="4"/>
            <c:bubble3D val="0"/>
            <c:spPr>
              <a:solidFill>
                <a:srgbClr val="FFFF00"/>
              </a:solidFill>
              <a:effectLst/>
            </c:spPr>
          </c:dPt>
          <c:dPt>
            <c:idx val="5"/>
            <c:bubble3D val="0"/>
            <c:spPr>
              <a:solidFill>
                <a:schemeClr val="accent1">
                  <a:lumMod val="40000"/>
                  <a:lumOff val="60000"/>
                </a:schemeClr>
              </a:solidFill>
              <a:effectLst/>
            </c:spPr>
          </c:dPt>
          <c:dPt>
            <c:idx val="6"/>
            <c:bubble3D val="0"/>
            <c:spPr>
              <a:solidFill>
                <a:schemeClr val="accent1">
                  <a:lumMod val="75000"/>
                </a:schemeClr>
              </a:solidFill>
              <a:effectLst/>
            </c:spPr>
          </c:dPt>
          <c:dPt>
            <c:idx val="7"/>
            <c:bubble3D val="0"/>
            <c:spPr>
              <a:solidFill>
                <a:schemeClr val="accent1">
                  <a:lumMod val="50000"/>
                </a:schemeClr>
              </a:solidFill>
              <a:effectLst/>
            </c:spPr>
          </c:dPt>
          <c:dPt>
            <c:idx val="8"/>
            <c:bubble3D val="0"/>
            <c:spPr>
              <a:solidFill>
                <a:schemeClr val="tx2">
                  <a:lumMod val="50000"/>
                </a:schemeClr>
              </a:solidFill>
              <a:effectLst/>
            </c:spPr>
          </c:dPt>
          <c:dPt>
            <c:idx val="9"/>
            <c:bubble3D val="0"/>
            <c:spPr>
              <a:noFill/>
              <a:effectLst/>
            </c:spPr>
          </c:dPt>
          <c:cat>
            <c:strRef>
              <c:f>'Parlement Européen'!$H$9:$H$18</c:f>
              <c:strCache>
                <c:ptCount val="10"/>
                <c:pt idx="0">
                  <c:v>Non-inscrits</c:v>
                </c:pt>
                <c:pt idx="1">
                  <c:v>GUE/NGL</c:v>
                </c:pt>
                <c:pt idx="2">
                  <c:v>S&amp;D</c:v>
                </c:pt>
                <c:pt idx="3">
                  <c:v>Verts/ALE</c:v>
                </c:pt>
                <c:pt idx="4">
                  <c:v>ALDE</c:v>
                </c:pt>
                <c:pt idx="5">
                  <c:v>PPE</c:v>
                </c:pt>
                <c:pt idx="6">
                  <c:v>ECR</c:v>
                </c:pt>
                <c:pt idx="7">
                  <c:v>EFDD</c:v>
                </c:pt>
                <c:pt idx="8">
                  <c:v>ENF</c:v>
                </c:pt>
                <c:pt idx="9">
                  <c:v>Autre</c:v>
                </c:pt>
              </c:strCache>
            </c:strRef>
          </c:cat>
          <c:val>
            <c:numRef>
              <c:f>'Parlement Européen'!$I$9:$I$18</c:f>
              <c:numCache>
                <c:formatCode>General</c:formatCode>
                <c:ptCount val="10"/>
                <c:pt idx="0">
                  <c:v>18</c:v>
                </c:pt>
                <c:pt idx="1">
                  <c:v>52</c:v>
                </c:pt>
                <c:pt idx="2">
                  <c:v>189</c:v>
                </c:pt>
                <c:pt idx="3">
                  <c:v>51</c:v>
                </c:pt>
                <c:pt idx="4">
                  <c:v>68</c:v>
                </c:pt>
                <c:pt idx="5">
                  <c:v>217</c:v>
                </c:pt>
                <c:pt idx="6">
                  <c:v>74</c:v>
                </c:pt>
                <c:pt idx="7">
                  <c:v>42</c:v>
                </c:pt>
                <c:pt idx="8">
                  <c:v>40</c:v>
                </c:pt>
                <c:pt idx="9">
                  <c:v>751</c:v>
                </c:pt>
              </c:numCache>
            </c:numRef>
          </c:val>
        </c:ser>
        <c:dLbls>
          <c:showLegendKey val="0"/>
          <c:showVal val="0"/>
          <c:showCatName val="0"/>
          <c:showSerName val="0"/>
          <c:showPercent val="0"/>
          <c:showBubbleSize val="0"/>
          <c:showLeaderLines val="1"/>
        </c:dLbls>
        <c:firstSliceAng val="270"/>
        <c:holeSize val="50"/>
      </c:doughnutChart>
    </c:plotArea>
    <c:legend>
      <c:legendPos val="r"/>
      <c:legendEntry>
        <c:idx val="9"/>
        <c:delete val="1"/>
      </c:legendEntry>
      <c:overlay val="0"/>
    </c:legend>
    <c:plotVisOnly val="1"/>
    <c:dispBlanksAs val="gap"/>
    <c:showDLblsOverMax val="0"/>
  </c:chart>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doughnutChart>
        <c:varyColors val="1"/>
        <c:ser>
          <c:idx val="0"/>
          <c:order val="0"/>
          <c:spPr>
            <a:effectLst/>
          </c:spPr>
          <c:dPt>
            <c:idx val="0"/>
            <c:bubble3D val="0"/>
            <c:spPr>
              <a:noFill/>
              <a:effectLst/>
            </c:spPr>
          </c:dPt>
          <c:dPt>
            <c:idx val="1"/>
            <c:bubble3D val="0"/>
            <c:spPr>
              <a:solidFill>
                <a:schemeClr val="bg1">
                  <a:lumMod val="65000"/>
                </a:schemeClr>
              </a:solidFill>
              <a:effectLst/>
            </c:spPr>
          </c:dPt>
          <c:dPt>
            <c:idx val="2"/>
            <c:bubble3D val="0"/>
            <c:spPr>
              <a:solidFill>
                <a:schemeClr val="accent2">
                  <a:lumMod val="50000"/>
                </a:schemeClr>
              </a:solidFill>
              <a:effectLst/>
            </c:spPr>
          </c:dPt>
          <c:dPt>
            <c:idx val="3"/>
            <c:bubble3D val="0"/>
            <c:spPr>
              <a:solidFill>
                <a:schemeClr val="accent2">
                  <a:lumMod val="75000"/>
                </a:schemeClr>
              </a:solidFill>
              <a:effectLst/>
            </c:spPr>
          </c:dPt>
          <c:dPt>
            <c:idx val="4"/>
            <c:bubble3D val="0"/>
            <c:spPr>
              <a:solidFill>
                <a:srgbClr val="B27B79"/>
              </a:solidFill>
              <a:effectLst/>
            </c:spPr>
          </c:dPt>
          <c:dPt>
            <c:idx val="5"/>
            <c:bubble3D val="0"/>
            <c:spPr>
              <a:solidFill>
                <a:schemeClr val="accent2">
                  <a:lumMod val="60000"/>
                  <a:lumOff val="40000"/>
                </a:schemeClr>
              </a:solidFill>
              <a:effectLst/>
            </c:spPr>
          </c:dPt>
          <c:dPt>
            <c:idx val="6"/>
            <c:bubble3D val="0"/>
            <c:spPr>
              <a:solidFill>
                <a:schemeClr val="accent3">
                  <a:lumMod val="75000"/>
                </a:schemeClr>
              </a:solidFill>
              <a:effectLst/>
            </c:spPr>
          </c:dPt>
          <c:dPt>
            <c:idx val="7"/>
            <c:bubble3D val="0"/>
            <c:spPr>
              <a:solidFill>
                <a:srgbClr val="FFFF00"/>
              </a:solidFill>
              <a:effectLst/>
            </c:spPr>
          </c:dPt>
          <c:dPt>
            <c:idx val="8"/>
            <c:bubble3D val="0"/>
            <c:spPr>
              <a:solidFill>
                <a:schemeClr val="accent1">
                  <a:lumMod val="60000"/>
                  <a:lumOff val="40000"/>
                </a:schemeClr>
              </a:solidFill>
              <a:effectLst/>
            </c:spPr>
          </c:dPt>
          <c:dPt>
            <c:idx val="9"/>
            <c:bubble3D val="0"/>
            <c:spPr>
              <a:solidFill>
                <a:schemeClr val="accent1">
                  <a:lumMod val="75000"/>
                </a:schemeClr>
              </a:solidFill>
              <a:effectLst/>
            </c:spPr>
          </c:dPt>
          <c:dPt>
            <c:idx val="10"/>
            <c:bubble3D val="0"/>
            <c:spPr>
              <a:solidFill>
                <a:schemeClr val="tx2">
                  <a:lumMod val="75000"/>
                </a:schemeClr>
              </a:solidFill>
              <a:effectLst/>
            </c:spPr>
          </c:dPt>
          <c:dPt>
            <c:idx val="11"/>
            <c:bubble3D val="0"/>
            <c:spPr>
              <a:solidFill>
                <a:schemeClr val="tx2">
                  <a:lumMod val="50000"/>
                </a:schemeClr>
              </a:solidFill>
              <a:effectLst/>
            </c:spPr>
          </c:dPt>
          <c:cat>
            <c:strRef>
              <c:f>Récap!$J$6:$J$17</c:f>
              <c:strCache>
                <c:ptCount val="12"/>
                <c:pt idx="0">
                  <c:v>Autre</c:v>
                </c:pt>
                <c:pt idx="1">
                  <c:v>Union lituanienne agraire et des verts **</c:v>
                </c:pt>
                <c:pt idx="2">
                  <c:v>SP** (Pays Bas)</c:v>
                </c:pt>
                <c:pt idx="3">
                  <c:v>GUE/NGL</c:v>
                </c:pt>
                <c:pt idx="4">
                  <c:v>MPD** (Italie)</c:v>
                </c:pt>
                <c:pt idx="5">
                  <c:v>S&amp;D</c:v>
                </c:pt>
                <c:pt idx="6">
                  <c:v>Verts/ALE</c:v>
                </c:pt>
                <c:pt idx="7">
                  <c:v>ADLE</c:v>
                </c:pt>
                <c:pt idx="8">
                  <c:v>PPE</c:v>
                </c:pt>
                <c:pt idx="9">
                  <c:v>CRE</c:v>
                </c:pt>
                <c:pt idx="10">
                  <c:v>ELDD</c:v>
                </c:pt>
                <c:pt idx="11">
                  <c:v>ENL</c:v>
                </c:pt>
              </c:strCache>
            </c:strRef>
          </c:cat>
          <c:val>
            <c:numRef>
              <c:f>Récap!$K$6:$K$17</c:f>
              <c:numCache>
                <c:formatCode>General</c:formatCode>
                <c:ptCount val="12"/>
                <c:pt idx="0">
                  <c:v>105</c:v>
                </c:pt>
                <c:pt idx="1">
                  <c:v>1</c:v>
                </c:pt>
                <c:pt idx="2">
                  <c:v>1</c:v>
                </c:pt>
                <c:pt idx="3">
                  <c:v>7</c:v>
                </c:pt>
                <c:pt idx="4">
                  <c:v>1</c:v>
                </c:pt>
                <c:pt idx="5">
                  <c:v>43</c:v>
                </c:pt>
                <c:pt idx="6">
                  <c:v>3</c:v>
                </c:pt>
                <c:pt idx="7">
                  <c:v>8</c:v>
                </c:pt>
                <c:pt idx="8">
                  <c:v>36</c:v>
                </c:pt>
                <c:pt idx="9">
                  <c:v>1</c:v>
                </c:pt>
                <c:pt idx="10">
                  <c:v>3</c:v>
                </c:pt>
                <c:pt idx="11">
                  <c:v>1</c:v>
                </c:pt>
              </c:numCache>
            </c:numRef>
          </c:val>
        </c:ser>
        <c:dLbls>
          <c:showLegendKey val="0"/>
          <c:showVal val="0"/>
          <c:showCatName val="0"/>
          <c:showSerName val="0"/>
          <c:showPercent val="0"/>
          <c:showBubbleSize val="0"/>
          <c:showLeaderLines val="1"/>
        </c:dLbls>
        <c:firstSliceAng val="90"/>
        <c:holeSize val="50"/>
      </c:doughnutChart>
    </c:plotArea>
    <c:legend>
      <c:legendPos val="r"/>
      <c:legendEntry>
        <c:idx val="0"/>
        <c:delete val="1"/>
      </c:legendEntry>
      <c:layout>
        <c:manualLayout>
          <c:xMode val="edge"/>
          <c:yMode val="edge"/>
          <c:x val="0.64300109361329805"/>
          <c:y val="5.3252405949256301E-2"/>
          <c:w val="0.28785716043307102"/>
          <c:h val="0.62759104330708604"/>
        </c:manualLayout>
      </c:layout>
      <c:overlay val="0"/>
    </c:legend>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31495882074199"/>
          <c:y val="9.1089948190091405E-2"/>
          <c:w val="0.59467270883086099"/>
          <c:h val="0.81782010361981705"/>
        </c:manualLayout>
      </c:layout>
      <c:doughnutChart>
        <c:varyColors val="1"/>
        <c:dLbls>
          <c:showLegendKey val="0"/>
          <c:showVal val="0"/>
          <c:showCatName val="0"/>
          <c:showSerName val="0"/>
          <c:showPercent val="0"/>
          <c:showBubbleSize val="0"/>
          <c:showLeaderLines val="0"/>
        </c:dLbls>
        <c:firstSliceAng val="270"/>
        <c:holeSize val="57"/>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31495882074199"/>
          <c:y val="9.1089948190091405E-2"/>
          <c:w val="0.59467270883086099"/>
          <c:h val="0.81782010361981705"/>
        </c:manualLayout>
      </c:layout>
      <c:doughnutChart>
        <c:varyColors val="1"/>
        <c:dLbls>
          <c:showLegendKey val="0"/>
          <c:showVal val="0"/>
          <c:showCatName val="0"/>
          <c:showSerName val="0"/>
          <c:showPercent val="0"/>
          <c:showBubbleSize val="0"/>
          <c:showLeaderLines val="0"/>
        </c:dLbls>
        <c:firstSliceAng val="270"/>
        <c:holeSize val="57"/>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31495882074199"/>
          <c:y val="9.1089948190091405E-2"/>
          <c:w val="0.59467270883086099"/>
          <c:h val="0.81782010361981705"/>
        </c:manualLayout>
      </c:layout>
      <c:doughnutChart>
        <c:varyColors val="1"/>
        <c:dLbls>
          <c:showLegendKey val="0"/>
          <c:showVal val="0"/>
          <c:showCatName val="0"/>
          <c:showSerName val="0"/>
          <c:showPercent val="0"/>
          <c:showBubbleSize val="0"/>
          <c:showLeaderLines val="0"/>
        </c:dLbls>
        <c:firstSliceAng val="270"/>
        <c:holeSize val="57"/>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31495882074199"/>
          <c:y val="9.1089948190091405E-2"/>
          <c:w val="0.59467270883086099"/>
          <c:h val="0.81782010361981705"/>
        </c:manualLayout>
      </c:layout>
      <c:doughnutChart>
        <c:varyColors val="1"/>
        <c:dLbls>
          <c:showLegendKey val="0"/>
          <c:showVal val="0"/>
          <c:showCatName val="0"/>
          <c:showSerName val="0"/>
          <c:showPercent val="0"/>
          <c:showBubbleSize val="0"/>
          <c:showLeaderLines val="0"/>
        </c:dLbls>
        <c:firstSliceAng val="270"/>
        <c:holeSize val="57"/>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31495882074199"/>
          <c:y val="9.1089948190091405E-2"/>
          <c:w val="0.59467270883086099"/>
          <c:h val="0.81782010361981705"/>
        </c:manualLayout>
      </c:layout>
      <c:doughnutChart>
        <c:varyColors val="1"/>
        <c:dLbls>
          <c:showLegendKey val="0"/>
          <c:showVal val="0"/>
          <c:showCatName val="0"/>
          <c:showSerName val="0"/>
          <c:showPercent val="0"/>
          <c:showBubbleSize val="0"/>
          <c:showLeaderLines val="0"/>
        </c:dLbls>
        <c:firstSliceAng val="270"/>
        <c:holeSize val="57"/>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31495882074199"/>
          <c:y val="9.1089948190091405E-2"/>
          <c:w val="0.59467270883086099"/>
          <c:h val="0.81782010361981705"/>
        </c:manualLayout>
      </c:layout>
      <c:doughnutChart>
        <c:varyColors val="1"/>
        <c:dLbls>
          <c:showLegendKey val="0"/>
          <c:showVal val="0"/>
          <c:showCatName val="0"/>
          <c:showSerName val="0"/>
          <c:showPercent val="0"/>
          <c:showBubbleSize val="0"/>
          <c:showLeaderLines val="0"/>
        </c:dLbls>
        <c:firstSliceAng val="270"/>
        <c:holeSize val="57"/>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31495882074199"/>
          <c:y val="9.1089948190091405E-2"/>
          <c:w val="0.59467270883086099"/>
          <c:h val="0.81782010361981705"/>
        </c:manualLayout>
      </c:layout>
      <c:doughnutChart>
        <c:varyColors val="1"/>
        <c:dLbls>
          <c:showLegendKey val="0"/>
          <c:showVal val="0"/>
          <c:showCatName val="0"/>
          <c:showSerName val="0"/>
          <c:showPercent val="0"/>
          <c:showBubbleSize val="0"/>
          <c:showLeaderLines val="0"/>
        </c:dLbls>
        <c:firstSliceAng val="270"/>
        <c:holeSize val="57"/>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31495882074199"/>
          <c:y val="9.1089948190091405E-2"/>
          <c:w val="0.59467270883086099"/>
          <c:h val="0.81782010361981705"/>
        </c:manualLayout>
      </c:layout>
      <c:doughnutChart>
        <c:varyColors val="1"/>
        <c:ser>
          <c:idx val="0"/>
          <c:order val="0"/>
          <c:explosion val="7"/>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6-0CE6-4E22-B36A-F66117A9F95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7-0CE6-4E22-B36A-F66117A9F95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8-0CE6-4E22-B36A-F66117A9F95B}"/>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0CE6-4E22-B36A-F66117A9F95B}"/>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A-0CE6-4E22-B36A-F66117A9F95B}"/>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C-0CE6-4E22-B36A-F66117A9F95B}"/>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B-0CE6-4E22-B36A-F66117A9F95B}"/>
              </c:ext>
            </c:extLst>
          </c:dPt>
          <c:dPt>
            <c:idx val="7"/>
            <c:bubble3D val="0"/>
            <c:spPr>
              <a:solidFill>
                <a:srgbClr val="E729B1"/>
              </a:solidFill>
              <a:ln w="19050">
                <a:solidFill>
                  <a:schemeClr val="lt1"/>
                </a:solidFill>
              </a:ln>
              <a:effectLst/>
            </c:spPr>
            <c:extLst xmlns:c16r2="http://schemas.microsoft.com/office/drawing/2015/06/chart">
              <c:ext xmlns:c16="http://schemas.microsoft.com/office/drawing/2014/chart" uri="{C3380CC4-5D6E-409C-BE32-E72D297353CC}">
                <c16:uniqueId val="{0000000D-0CE6-4E22-B36A-F66117A9F95B}"/>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0CE6-4E22-B36A-F66117A9F95B}"/>
              </c:ext>
            </c:extLst>
          </c:dPt>
          <c:dPt>
            <c:idx val="9"/>
            <c:bubble3D val="0"/>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E-0CE6-4E22-B36A-F66117A9F95B}"/>
              </c:ext>
            </c:extLst>
          </c:dPt>
          <c:dPt>
            <c:idx val="10"/>
            <c:bubble3D val="0"/>
            <c:spPr>
              <a:solidFill>
                <a:schemeClr val="accent6">
                  <a:lumMod val="40000"/>
                  <a:lumOff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0-0CE6-4E22-B36A-F66117A9F95B}"/>
              </c:ext>
            </c:extLst>
          </c:dPt>
          <c:dPt>
            <c:idx val="11"/>
            <c:bubble3D val="0"/>
            <c:spPr>
              <a:solidFill>
                <a:schemeClr val="accent6">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0CE6-4E22-B36A-F66117A9F95B}"/>
              </c:ext>
            </c:extLst>
          </c:dPt>
          <c:dPt>
            <c:idx val="12"/>
            <c:bubble3D val="0"/>
            <c:spPr>
              <a:solidFill>
                <a:schemeClr val="accent1">
                  <a:lumMod val="80000"/>
                  <a:lumOff val="2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2-0CE6-4E22-B36A-F66117A9F95B}"/>
              </c:ext>
            </c:extLst>
          </c:dPt>
          <c:dPt>
            <c:idx val="13"/>
            <c:bubble3D val="0"/>
            <c:spPr>
              <a:solidFill>
                <a:schemeClr val="accent2">
                  <a:lumMod val="80000"/>
                  <a:lumOff val="2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3-0CE6-4E22-B36A-F66117A9F95B}"/>
              </c:ext>
            </c:extLst>
          </c:dPt>
          <c:dPt>
            <c:idx val="14"/>
            <c:bubble3D val="0"/>
            <c:spPr>
              <a:solidFill>
                <a:schemeClr val="accent3">
                  <a:lumMod val="80000"/>
                  <a:lumOff val="2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4-0CE6-4E22-B36A-F66117A9F95B}"/>
              </c:ext>
            </c:extLst>
          </c:dPt>
          <c:dPt>
            <c:idx val="15"/>
            <c:bubble3D val="0"/>
            <c:spPr>
              <a:solidFill>
                <a:schemeClr val="accent4">
                  <a:lumMod val="80000"/>
                  <a:lumOff val="2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5-0CE6-4E22-B36A-F66117A9F95B}"/>
              </c:ext>
            </c:extLst>
          </c:dPt>
          <c:dPt>
            <c:idx val="16"/>
            <c:bubble3D val="0"/>
            <c:spPr>
              <a:solidFill>
                <a:schemeClr val="accent5">
                  <a:lumMod val="80000"/>
                  <a:lumOff val="2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6-0CE6-4E22-B36A-F66117A9F95B}"/>
              </c:ext>
            </c:extLst>
          </c:dPt>
          <c:dPt>
            <c:idx val="17"/>
            <c:bubble3D val="0"/>
            <c:spPr>
              <a:solidFill>
                <a:schemeClr val="accent6">
                  <a:lumMod val="80000"/>
                  <a:lumOff val="2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7-0CE6-4E22-B36A-F66117A9F95B}"/>
              </c:ext>
            </c:extLst>
          </c:dPt>
          <c:dPt>
            <c:idx val="18"/>
            <c:bubble3D val="0"/>
            <c:spPr>
              <a:solidFill>
                <a:schemeClr val="accent1">
                  <a:lumMod val="8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8-0CE6-4E22-B36A-F66117A9F95B}"/>
              </c:ext>
            </c:extLst>
          </c:dPt>
          <c:dPt>
            <c:idx val="19"/>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1-0CE6-4E22-B36A-F66117A9F95B}"/>
              </c:ext>
            </c:extLst>
          </c:dPt>
          <c:dLbls>
            <c:dLbl>
              <c:idx val="0"/>
              <c:layout>
                <c:manualLayout>
                  <c:x val="-0.14271621788934599"/>
                  <c:y val="-4.1058267933112902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0CE6-4E22-B36A-F66117A9F95B}"/>
                </c:ext>
              </c:extLst>
            </c:dLbl>
            <c:dLbl>
              <c:idx val="1"/>
              <c:layout>
                <c:manualLayout>
                  <c:x val="-0.17645735555348999"/>
                  <c:y val="-3.4128825731271503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0CE6-4E22-B36A-F66117A9F95B}"/>
                </c:ext>
              </c:extLst>
            </c:dLbl>
            <c:dLbl>
              <c:idx val="2"/>
              <c:layout>
                <c:manualLayout>
                  <c:x val="-0.168719430793911"/>
                  <c:y val="-9.6504971121762803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0CE6-4E22-B36A-F66117A9F95B}"/>
                </c:ext>
              </c:extLst>
            </c:dLbl>
            <c:dLbl>
              <c:idx val="3"/>
              <c:layout>
                <c:manualLayout>
                  <c:x val="-0.13354407266354601"/>
                  <c:y val="-0.159659737948803"/>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0CE6-4E22-B36A-F66117A9F95B}"/>
                </c:ext>
              </c:extLst>
            </c:dLbl>
            <c:dLbl>
              <c:idx val="4"/>
              <c:layout>
                <c:manualLayout>
                  <c:x val="-7.1471691719276795E-2"/>
                  <c:y val="-0.14991028168859699"/>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0CE6-4E22-B36A-F66117A9F95B}"/>
                </c:ext>
              </c:extLst>
            </c:dLbl>
            <c:dLbl>
              <c:idx val="5"/>
              <c:layout>
                <c:manualLayout>
                  <c:x val="-1.27560010592229E-2"/>
                  <c:y val="-0.146784089222146"/>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0CE6-4E22-B36A-F66117A9F95B}"/>
                </c:ext>
              </c:extLst>
            </c:dLbl>
            <c:dLbl>
              <c:idx val="6"/>
              <c:layout>
                <c:manualLayout>
                  <c:x val="7.3171863181370894E-2"/>
                  <c:y val="-0.14425120330139499"/>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0CE6-4E22-B36A-F66117A9F95B}"/>
                </c:ext>
              </c:extLst>
            </c:dLbl>
            <c:dLbl>
              <c:idx val="7"/>
              <c:layout>
                <c:manualLayout>
                  <c:x val="0.105334580754418"/>
                  <c:y val="-0.14124531606650201"/>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0CE6-4E22-B36A-F66117A9F95B}"/>
                </c:ext>
              </c:extLst>
            </c:dLbl>
            <c:dLbl>
              <c:idx val="8"/>
              <c:layout>
                <c:manualLayout>
                  <c:x val="0.135216714063497"/>
                  <c:y val="-0.16765517880396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0CE6-4E22-B36A-F66117A9F95B}"/>
                </c:ext>
              </c:extLst>
            </c:dLbl>
            <c:dLbl>
              <c:idx val="9"/>
              <c:layout>
                <c:manualLayout>
                  <c:x val="0.16419172421996001"/>
                  <c:y val="-0.12020559989717999"/>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0CE6-4E22-B36A-F66117A9F95B}"/>
                </c:ext>
              </c:extLst>
            </c:dLbl>
            <c:dLbl>
              <c:idx val="10"/>
              <c:layout>
                <c:manualLayout>
                  <c:x val="0.152601720157374"/>
                  <c:y val="-0.12336890515763201"/>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0CE6-4E22-B36A-F66117A9F95B}"/>
                </c:ext>
              </c:extLst>
            </c:dLbl>
            <c:dLbl>
              <c:idx val="11"/>
              <c:layout>
                <c:manualLayout>
                  <c:x val="0.16805505890748801"/>
                  <c:y val="-0.14551204198079701"/>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0CE6-4E22-B36A-F66117A9F95B}"/>
                </c:ext>
              </c:extLst>
            </c:dLbl>
            <c:dLbl>
              <c:idx val="12"/>
              <c:layout>
                <c:manualLayout>
                  <c:x val="0.20862007312653699"/>
                  <c:y val="-9.8062463074015394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0CE6-4E22-B36A-F66117A9F95B}"/>
                </c:ext>
              </c:extLst>
            </c:dLbl>
            <c:dLbl>
              <c:idx val="13"/>
              <c:layout>
                <c:manualLayout>
                  <c:x val="0.22579632279585601"/>
                  <c:y val="-4.8578031256216299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0CE6-4E22-B36A-F66117A9F95B}"/>
                </c:ext>
              </c:extLst>
            </c:dLbl>
            <c:dLbl>
              <c:idx val="14"/>
              <c:layout>
                <c:manualLayout>
                  <c:x val="0.185440065001367"/>
                  <c:y val="0"/>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0CE6-4E22-B36A-F66117A9F95B}"/>
                </c:ext>
              </c:extLst>
            </c:dLbl>
            <c:dLbl>
              <c:idx val="15"/>
              <c:layout>
                <c:manualLayout>
                  <c:x val="0.19316673437642401"/>
                  <c:y val="2.2143136823164801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0CE6-4E22-B36A-F66117A9F95B}"/>
                </c:ext>
              </c:extLst>
            </c:dLbl>
            <c:dLbl>
              <c:idx val="16"/>
              <c:layout>
                <c:manualLayout>
                  <c:x val="0.160328389532432"/>
                  <c:y val="3.79596631254253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0CE6-4E22-B36A-F66117A9F95B}"/>
                </c:ext>
              </c:extLst>
            </c:dLbl>
            <c:dLbl>
              <c:idx val="17"/>
              <c:layout>
                <c:manualLayout>
                  <c:x val="0.15453338750113901"/>
                  <c:y val="7.5919326250850599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0CE6-4E22-B36A-F66117A9F95B}"/>
                </c:ext>
              </c:extLst>
            </c:dLbl>
            <c:dLbl>
              <c:idx val="18"/>
              <c:layout>
                <c:manualLayout>
                  <c:x val="4.24966815628132E-2"/>
                  <c:y val="8.5409242032206803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0CE6-4E22-B36A-F66117A9F95B}"/>
                </c:ext>
              </c:extLst>
            </c:dLbl>
            <c:dLbl>
              <c:idx val="1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CE6-4E22-B36A-F66117A9F95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ext>
            </c:extLst>
          </c:dLbls>
          <c:cat>
            <c:strRef>
              <c:f>'Infos zone€'!$B$5:$B$24</c:f>
              <c:strCache>
                <c:ptCount val="20"/>
                <c:pt idx="0">
                  <c:v>Allemagne</c:v>
                </c:pt>
                <c:pt idx="1">
                  <c:v>Autriche</c:v>
                </c:pt>
                <c:pt idx="2">
                  <c:v>Belgique</c:v>
                </c:pt>
                <c:pt idx="3">
                  <c:v>Chypre</c:v>
                </c:pt>
                <c:pt idx="4">
                  <c:v>Espagne</c:v>
                </c:pt>
                <c:pt idx="5">
                  <c:v>Estonie</c:v>
                </c:pt>
                <c:pt idx="6">
                  <c:v>Finlande</c:v>
                </c:pt>
                <c:pt idx="7">
                  <c:v>France</c:v>
                </c:pt>
                <c:pt idx="8">
                  <c:v>Grèce</c:v>
                </c:pt>
                <c:pt idx="9">
                  <c:v>Irlande</c:v>
                </c:pt>
                <c:pt idx="10">
                  <c:v>Italie</c:v>
                </c:pt>
                <c:pt idx="11">
                  <c:v>Lettonie</c:v>
                </c:pt>
                <c:pt idx="12">
                  <c:v>Lituanie</c:v>
                </c:pt>
                <c:pt idx="13">
                  <c:v>Luxembourg</c:v>
                </c:pt>
                <c:pt idx="14">
                  <c:v>Malte</c:v>
                </c:pt>
                <c:pt idx="15">
                  <c:v>Pays-Bas</c:v>
                </c:pt>
                <c:pt idx="16">
                  <c:v>Portugal</c:v>
                </c:pt>
                <c:pt idx="17">
                  <c:v>Slovaquie</c:v>
                </c:pt>
                <c:pt idx="18">
                  <c:v>Slovénie</c:v>
                </c:pt>
                <c:pt idx="19">
                  <c:v>Total</c:v>
                </c:pt>
              </c:strCache>
            </c:strRef>
          </c:cat>
          <c:val>
            <c:numRef>
              <c:f>'Infos zone€'!$G$5:$G$24</c:f>
              <c:numCache>
                <c:formatCode>0</c:formatCode>
                <c:ptCount val="20"/>
                <c:pt idx="0">
                  <c:v>24</c:v>
                </c:pt>
                <c:pt idx="1">
                  <c:v>3</c:v>
                </c:pt>
                <c:pt idx="2">
                  <c:v>3</c:v>
                </c:pt>
                <c:pt idx="3">
                  <c:v>1</c:v>
                </c:pt>
                <c:pt idx="4">
                  <c:v>14.000000000000002</c:v>
                </c:pt>
                <c:pt idx="5">
                  <c:v>1</c:v>
                </c:pt>
                <c:pt idx="6">
                  <c:v>2</c:v>
                </c:pt>
                <c:pt idx="7">
                  <c:v>20</c:v>
                </c:pt>
                <c:pt idx="8">
                  <c:v>3</c:v>
                </c:pt>
                <c:pt idx="9">
                  <c:v>1</c:v>
                </c:pt>
                <c:pt idx="10">
                  <c:v>18</c:v>
                </c:pt>
                <c:pt idx="11">
                  <c:v>1</c:v>
                </c:pt>
                <c:pt idx="12">
                  <c:v>1</c:v>
                </c:pt>
                <c:pt idx="13">
                  <c:v>1</c:v>
                </c:pt>
                <c:pt idx="14">
                  <c:v>1</c:v>
                </c:pt>
                <c:pt idx="15">
                  <c:v>5</c:v>
                </c:pt>
                <c:pt idx="16">
                  <c:v>3</c:v>
                </c:pt>
                <c:pt idx="17">
                  <c:v>2</c:v>
                </c:pt>
                <c:pt idx="18">
                  <c:v>1</c:v>
                </c:pt>
                <c:pt idx="19" formatCode="General">
                  <c:v>105</c:v>
                </c:pt>
              </c:numCache>
            </c:numRef>
          </c:val>
          <c:extLst xmlns:c16r2="http://schemas.microsoft.com/office/drawing/2015/06/chart">
            <c:ext xmlns:c16="http://schemas.microsoft.com/office/drawing/2014/chart" uri="{C3380CC4-5D6E-409C-BE32-E72D297353CC}">
              <c16:uniqueId val="{00000000-0CE6-4E22-B36A-F66117A9F95B}"/>
            </c:ext>
          </c:extLst>
        </c:ser>
        <c:dLbls>
          <c:showLegendKey val="0"/>
          <c:showVal val="0"/>
          <c:showCatName val="0"/>
          <c:showSerName val="0"/>
          <c:showPercent val="0"/>
          <c:showBubbleSize val="0"/>
          <c:showLeaderLines val="0"/>
        </c:dLbls>
        <c:firstSliceAng val="270"/>
        <c:holeSize val="57"/>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11</xdr:col>
      <xdr:colOff>38100</xdr:colOff>
      <xdr:row>6</xdr:row>
      <xdr:rowOff>133351</xdr:rowOff>
    </xdr:from>
    <xdr:to>
      <xdr:col>19</xdr:col>
      <xdr:colOff>90488</xdr:colOff>
      <xdr:row>34</xdr:row>
      <xdr:rowOff>195263</xdr:rowOff>
    </xdr:to>
    <xdr:graphicFrame macro="">
      <xdr:nvGraphicFramePr>
        <xdr:cNvPr id="2" name="Chart 1">
          <a:extLst>
            <a:ext uri="{FF2B5EF4-FFF2-40B4-BE49-F238E27FC236}">
              <a16:creationId xmlns:a16="http://schemas.microsoft.com/office/drawing/2014/main" xmlns="" id="{73F11C2B-2443-4D4B-9E80-80AD9EAB6E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342900</xdr:colOff>
      <xdr:row>7</xdr:row>
      <xdr:rowOff>107950</xdr:rowOff>
    </xdr:from>
    <xdr:to>
      <xdr:col>12</xdr:col>
      <xdr:colOff>190500</xdr:colOff>
      <xdr:row>18</xdr:row>
      <xdr:rowOff>127000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269875</xdr:colOff>
      <xdr:row>3</xdr:row>
      <xdr:rowOff>334963</xdr:rowOff>
    </xdr:from>
    <xdr:to>
      <xdr:col>12</xdr:col>
      <xdr:colOff>111125</xdr:colOff>
      <xdr:row>21</xdr:row>
      <xdr:rowOff>449263</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38100</xdr:colOff>
      <xdr:row>6</xdr:row>
      <xdr:rowOff>133351</xdr:rowOff>
    </xdr:from>
    <xdr:to>
      <xdr:col>20</xdr:col>
      <xdr:colOff>90488</xdr:colOff>
      <xdr:row>36</xdr:row>
      <xdr:rowOff>195263</xdr:rowOff>
    </xdr:to>
    <xdr:graphicFrame macro="">
      <xdr:nvGraphicFramePr>
        <xdr:cNvPr id="2" name="Chart 1">
          <a:extLst>
            <a:ext uri="{FF2B5EF4-FFF2-40B4-BE49-F238E27FC236}">
              <a16:creationId xmlns:a16="http://schemas.microsoft.com/office/drawing/2014/main" xmlns="" id="{73F11C2B-2443-4D4B-9E80-80AD9EAB6E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12</xdr:col>
      <xdr:colOff>38100</xdr:colOff>
      <xdr:row>5</xdr:row>
      <xdr:rowOff>133351</xdr:rowOff>
    </xdr:from>
    <xdr:to>
      <xdr:col>20</xdr:col>
      <xdr:colOff>90488</xdr:colOff>
      <xdr:row>30</xdr:row>
      <xdr:rowOff>195263</xdr:rowOff>
    </xdr:to>
    <xdr:graphicFrame macro="">
      <xdr:nvGraphicFramePr>
        <xdr:cNvPr id="2" name="Chart 1">
          <a:extLst>
            <a:ext uri="{FF2B5EF4-FFF2-40B4-BE49-F238E27FC236}">
              <a16:creationId xmlns:a16="http://schemas.microsoft.com/office/drawing/2014/main" xmlns="" id="{73F11C2B-2443-4D4B-9E80-80AD9EAB6E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38100</xdr:colOff>
      <xdr:row>5</xdr:row>
      <xdr:rowOff>133351</xdr:rowOff>
    </xdr:from>
    <xdr:to>
      <xdr:col>19</xdr:col>
      <xdr:colOff>90488</xdr:colOff>
      <xdr:row>32</xdr:row>
      <xdr:rowOff>195263</xdr:rowOff>
    </xdr:to>
    <xdr:graphicFrame macro="">
      <xdr:nvGraphicFramePr>
        <xdr:cNvPr id="2" name="Chart 1">
          <a:extLst>
            <a:ext uri="{FF2B5EF4-FFF2-40B4-BE49-F238E27FC236}">
              <a16:creationId xmlns:a16="http://schemas.microsoft.com/office/drawing/2014/main" xmlns="" id="{73F11C2B-2443-4D4B-9E80-80AD9EAB6E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38100</xdr:colOff>
      <xdr:row>6</xdr:row>
      <xdr:rowOff>133351</xdr:rowOff>
    </xdr:from>
    <xdr:to>
      <xdr:col>19</xdr:col>
      <xdr:colOff>90488</xdr:colOff>
      <xdr:row>34</xdr:row>
      <xdr:rowOff>195263</xdr:rowOff>
    </xdr:to>
    <xdr:graphicFrame macro="">
      <xdr:nvGraphicFramePr>
        <xdr:cNvPr id="2" name="Chart 1">
          <a:extLst>
            <a:ext uri="{FF2B5EF4-FFF2-40B4-BE49-F238E27FC236}">
              <a16:creationId xmlns:a16="http://schemas.microsoft.com/office/drawing/2014/main" xmlns="" id="{73F11C2B-2443-4D4B-9E80-80AD9EAB6E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12</xdr:col>
      <xdr:colOff>38100</xdr:colOff>
      <xdr:row>6</xdr:row>
      <xdr:rowOff>133351</xdr:rowOff>
    </xdr:from>
    <xdr:to>
      <xdr:col>20</xdr:col>
      <xdr:colOff>90488</xdr:colOff>
      <xdr:row>36</xdr:row>
      <xdr:rowOff>195263</xdr:rowOff>
    </xdr:to>
    <xdr:graphicFrame macro="">
      <xdr:nvGraphicFramePr>
        <xdr:cNvPr id="2" name="Chart 1">
          <a:extLst>
            <a:ext uri="{FF2B5EF4-FFF2-40B4-BE49-F238E27FC236}">
              <a16:creationId xmlns:a16="http://schemas.microsoft.com/office/drawing/2014/main" xmlns="" id="{73F11C2B-2443-4D4B-9E80-80AD9EAB6E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12</xdr:col>
      <xdr:colOff>38100</xdr:colOff>
      <xdr:row>5</xdr:row>
      <xdr:rowOff>133351</xdr:rowOff>
    </xdr:from>
    <xdr:to>
      <xdr:col>20</xdr:col>
      <xdr:colOff>90488</xdr:colOff>
      <xdr:row>30</xdr:row>
      <xdr:rowOff>195263</xdr:rowOff>
    </xdr:to>
    <xdr:graphicFrame macro="">
      <xdr:nvGraphicFramePr>
        <xdr:cNvPr id="2" name="Chart 1">
          <a:extLst>
            <a:ext uri="{FF2B5EF4-FFF2-40B4-BE49-F238E27FC236}">
              <a16:creationId xmlns:a16="http://schemas.microsoft.com/office/drawing/2014/main" xmlns="" id="{73F11C2B-2443-4D4B-9E80-80AD9EAB6E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11</xdr:col>
      <xdr:colOff>38100</xdr:colOff>
      <xdr:row>5</xdr:row>
      <xdr:rowOff>133351</xdr:rowOff>
    </xdr:from>
    <xdr:to>
      <xdr:col>19</xdr:col>
      <xdr:colOff>90488</xdr:colOff>
      <xdr:row>32</xdr:row>
      <xdr:rowOff>195263</xdr:rowOff>
    </xdr:to>
    <xdr:graphicFrame macro="">
      <xdr:nvGraphicFramePr>
        <xdr:cNvPr id="2" name="Chart 1">
          <a:extLst>
            <a:ext uri="{FF2B5EF4-FFF2-40B4-BE49-F238E27FC236}">
              <a16:creationId xmlns:a16="http://schemas.microsoft.com/office/drawing/2014/main" xmlns="" id="{73F11C2B-2443-4D4B-9E80-80AD9EAB6E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476250</xdr:colOff>
      <xdr:row>3</xdr:row>
      <xdr:rowOff>285751</xdr:rowOff>
    </xdr:from>
    <xdr:to>
      <xdr:col>15</xdr:col>
      <xdr:colOff>528638</xdr:colOff>
      <xdr:row>27</xdr:row>
      <xdr:rowOff>195263</xdr:rowOff>
    </xdr:to>
    <xdr:graphicFrame macro="">
      <xdr:nvGraphicFramePr>
        <xdr:cNvPr id="2" name="Chart 1">
          <a:extLst>
            <a:ext uri="{FF2B5EF4-FFF2-40B4-BE49-F238E27FC236}">
              <a16:creationId xmlns="" xmlns:a16="http://schemas.microsoft.com/office/drawing/2014/main" id="{73F11C2B-2443-4D4B-9E80-80AD9EAB6E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 displayName="Table1" ref="B10:F15" totalsRowShown="0" headerRowDxfId="85" dataDxfId="84">
  <tableColumns count="5">
    <tableColumn id="1" name="Partis / Groupes" dataDxfId="83"/>
    <tableColumn id="2" name="Nombre de sièges" dataDxfId="82" totalsRowDxfId="81"/>
    <tableColumn id="3" name="Part" dataDxfId="80" totalsRowDxfId="79"/>
    <tableColumn id="4" name="Description" dataDxfId="78"/>
    <tableColumn id="5" name="Affiliation Européenne" dataDxfId="77"/>
  </tableColumns>
  <tableStyleInfo name="TableStyleLight1" showFirstColumn="0" showLastColumn="0" showRowStripes="1" showColumnStripes="0"/>
</table>
</file>

<file path=xl/tables/table2.xml><?xml version="1.0" encoding="utf-8"?>
<table xmlns="http://schemas.openxmlformats.org/spreadsheetml/2006/main" id="2" name="Table13" displayName="Table13" ref="K10:O17" totalsRowShown="0" headerRowDxfId="76" dataDxfId="75">
  <tableColumns count="5">
    <tableColumn id="1" name="Partis / Groupes" dataDxfId="74"/>
    <tableColumn id="2" name="Nombre de sièges" dataDxfId="73" totalsRowDxfId="72"/>
    <tableColumn id="3" name="Part" dataDxfId="71" totalsRowDxfId="70"/>
    <tableColumn id="4" name="Description" dataDxfId="69"/>
    <tableColumn id="5" name="Affiliation Européenne" dataDxfId="68"/>
  </tableColumns>
  <tableStyleInfo name="TableStyleLight1" showFirstColumn="0" showLastColumn="0" showRowStripes="1" showColumnStripes="0"/>
</table>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hyperlink" Target="http://appsso.eurostat.ec.europa.eu/nui/show.do" TargetMode="External"/><Relationship Id="rId1" Type="http://schemas.openxmlformats.org/officeDocument/2006/relationships/hyperlink" Target="http://ec.europa.eu/eurostat/tgm/table.do?tab=table&amp;init=1&amp;language=fr&amp;pcode=tps00001&amp;plugin=1"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hyperlink" Target="https://www.parlament.gv.at/WWER/BR/SITZPLANBR/index.shtml" TargetMode="External"/><Relationship Id="rId1" Type="http://schemas.openxmlformats.org/officeDocument/2006/relationships/hyperlink" Target="https://www.parlament.gv.at/WWER/NR/SITZPLANNR/index.shtml" TargetMode="External"/><Relationship Id="rId4" Type="http://schemas.openxmlformats.org/officeDocument/2006/relationships/table" Target="../tables/table2.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c.europa.eu/eurostat/tgm/table.do?tab=table&amp;init=1&amp;language=fr&amp;pcode=tps00001&amp;plugin=1" TargetMode="External"/><Relationship Id="rId1" Type="http://schemas.openxmlformats.org/officeDocument/2006/relationships/hyperlink" Target="http://appsso.eurostat.ec.europa.eu/nui/show.do"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c.europa.eu/eurostat/tgm/table.do?tab=table&amp;init=1&amp;language=fr&amp;pcode=tps00001&amp;plugin=1" TargetMode="External"/><Relationship Id="rId1" Type="http://schemas.openxmlformats.org/officeDocument/2006/relationships/hyperlink" Target="http://appsso.eurostat.ec.europa.eu/nui/show.do"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appsso.eurostat.ec.europa.eu/nui/show.do" TargetMode="External"/><Relationship Id="rId1" Type="http://schemas.openxmlformats.org/officeDocument/2006/relationships/hyperlink" Target="http://ec.europa.eu/eurostat/tgm/table.do?tab=table&amp;init=1&amp;language=fr&amp;pcode=tps00001&amp;plugin=1" TargetMode="Externa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ec.europa.eu/eurostat/tgm/table.do?tab=table&amp;init=1&amp;language=fr&amp;pcode=tps00001&amp;plugin=1" TargetMode="External"/><Relationship Id="rId1" Type="http://schemas.openxmlformats.org/officeDocument/2006/relationships/hyperlink" Target="http://appsso.eurostat.ec.europa.eu/nui/show.do" TargetMode="Externa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ec.europa.eu/eurostat/tgm/table.do?tab=table&amp;init=1&amp;language=fr&amp;pcode=tps00001&amp;plugin=1" TargetMode="External"/><Relationship Id="rId1" Type="http://schemas.openxmlformats.org/officeDocument/2006/relationships/hyperlink" Target="http://appsso.eurostat.ec.europa.eu/nui/show.do" TargetMode="External"/><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appsso.eurostat.ec.europa.eu/nui/show.do" TargetMode="External"/><Relationship Id="rId1" Type="http://schemas.openxmlformats.org/officeDocument/2006/relationships/hyperlink" Target="http://ec.europa.eu/eurostat/tgm/table.do?tab=table&amp;init=1&amp;language=fr&amp;pcode=tps00001&amp;plugin=1" TargetMode="External"/><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M24"/>
  <sheetViews>
    <sheetView showGridLines="0" tabSelected="1" workbookViewId="0"/>
  </sheetViews>
  <sheetFormatPr baseColWidth="10" defaultRowHeight="15.6" x14ac:dyDescent="0.3"/>
  <cols>
    <col min="3" max="3" width="4.19921875" style="327" customWidth="1"/>
    <col min="4" max="4" width="3" customWidth="1"/>
    <col min="5" max="5" width="0.69921875" customWidth="1"/>
    <col min="6" max="6" width="19.5" customWidth="1"/>
    <col min="13" max="13" width="14.5" customWidth="1"/>
  </cols>
  <sheetData>
    <row r="1" spans="3:13" x14ac:dyDescent="0.3">
      <c r="C1" s="327" t="s">
        <v>688</v>
      </c>
    </row>
    <row r="2" spans="3:13" x14ac:dyDescent="0.3">
      <c r="C2" s="327" t="s">
        <v>689</v>
      </c>
    </row>
    <row r="4" spans="3:13" ht="23.4" x14ac:dyDescent="0.45">
      <c r="F4" s="308" t="s">
        <v>690</v>
      </c>
    </row>
    <row r="6" spans="3:13" ht="22.95" customHeight="1" x14ac:dyDescent="0.3">
      <c r="F6" s="309" t="s">
        <v>598</v>
      </c>
      <c r="G6" s="309" t="s">
        <v>599</v>
      </c>
      <c r="H6" s="310"/>
      <c r="I6" s="310"/>
      <c r="J6" s="310"/>
    </row>
    <row r="7" spans="3:13" ht="22.95" customHeight="1" x14ac:dyDescent="0.3">
      <c r="F7" s="384" t="s">
        <v>697</v>
      </c>
      <c r="G7" s="384" t="s">
        <v>691</v>
      </c>
      <c r="H7" s="310"/>
      <c r="I7" s="310"/>
      <c r="J7" s="310"/>
    </row>
    <row r="8" spans="3:13" ht="19.05" customHeight="1" x14ac:dyDescent="0.3">
      <c r="F8" s="315" t="s">
        <v>600</v>
      </c>
      <c r="G8" s="316" t="s">
        <v>601</v>
      </c>
      <c r="H8" s="313"/>
      <c r="I8" s="313"/>
      <c r="J8" s="313"/>
      <c r="K8" s="313"/>
      <c r="L8" s="313"/>
      <c r="M8" s="313"/>
    </row>
    <row r="9" spans="3:13" ht="19.05" customHeight="1" x14ac:dyDescent="0.3">
      <c r="F9" s="315" t="s">
        <v>659</v>
      </c>
      <c r="G9" s="316" t="s">
        <v>660</v>
      </c>
      <c r="H9" s="313"/>
      <c r="I9" s="313"/>
      <c r="J9" s="313"/>
      <c r="K9" s="313"/>
      <c r="L9" s="313"/>
      <c r="M9" s="313"/>
    </row>
    <row r="10" spans="3:13" ht="19.05" customHeight="1" x14ac:dyDescent="0.3">
      <c r="F10" s="317" t="s">
        <v>602</v>
      </c>
      <c r="G10" s="318" t="s">
        <v>603</v>
      </c>
      <c r="H10" s="314"/>
      <c r="I10" s="314"/>
      <c r="J10" s="314"/>
      <c r="K10" s="314"/>
      <c r="L10" s="314"/>
      <c r="M10" s="314"/>
    </row>
    <row r="11" spans="3:13" ht="4.05" customHeight="1" x14ac:dyDescent="0.3">
      <c r="F11" s="47"/>
    </row>
    <row r="12" spans="3:13" x14ac:dyDescent="0.3">
      <c r="F12" s="387" t="s">
        <v>604</v>
      </c>
      <c r="G12" s="387"/>
      <c r="H12" s="387"/>
      <c r="I12" s="387"/>
      <c r="J12" s="387"/>
      <c r="K12" s="387"/>
      <c r="L12" s="387"/>
      <c r="M12" s="387"/>
    </row>
    <row r="13" spans="3:13" s="320" customFormat="1" ht="19.05" customHeight="1" x14ac:dyDescent="0.3">
      <c r="C13" s="328"/>
      <c r="F13" s="321" t="s">
        <v>563</v>
      </c>
      <c r="G13" s="319"/>
      <c r="H13" s="319"/>
    </row>
    <row r="14" spans="3:13" s="320" customFormat="1" ht="19.05" customHeight="1" x14ac:dyDescent="0.3">
      <c r="C14" s="328"/>
      <c r="D14" s="390" t="s">
        <v>613</v>
      </c>
      <c r="F14" s="322" t="s">
        <v>605</v>
      </c>
      <c r="G14" s="316" t="s">
        <v>606</v>
      </c>
      <c r="H14" s="316"/>
      <c r="I14" s="316"/>
      <c r="J14" s="316"/>
      <c r="K14" s="316"/>
      <c r="L14" s="316"/>
      <c r="M14" s="316"/>
    </row>
    <row r="15" spans="3:13" s="320" customFormat="1" ht="19.05" customHeight="1" x14ac:dyDescent="0.3">
      <c r="C15" s="328"/>
      <c r="D15" s="390"/>
      <c r="F15" s="323" t="s">
        <v>607</v>
      </c>
      <c r="G15" s="318" t="s">
        <v>608</v>
      </c>
      <c r="H15" s="318"/>
      <c r="I15" s="318"/>
      <c r="J15" s="318"/>
      <c r="K15" s="318"/>
      <c r="L15" s="318"/>
      <c r="M15" s="318"/>
    </row>
    <row r="16" spans="3:13" ht="19.05" customHeight="1" x14ac:dyDescent="0.3">
      <c r="D16" s="390"/>
      <c r="F16" s="311" t="s">
        <v>609</v>
      </c>
      <c r="G16" s="312"/>
      <c r="H16" s="312"/>
      <c r="I16" s="312"/>
      <c r="J16" s="312"/>
    </row>
    <row r="17" spans="3:13" s="320" customFormat="1" ht="19.05" customHeight="1" x14ac:dyDescent="0.3">
      <c r="C17" s="328"/>
      <c r="D17" s="390"/>
      <c r="F17" s="322" t="s">
        <v>614</v>
      </c>
      <c r="G17" s="316" t="s">
        <v>606</v>
      </c>
      <c r="H17" s="316"/>
      <c r="I17" s="316"/>
      <c r="J17" s="316"/>
      <c r="K17" s="316"/>
      <c r="L17" s="316"/>
      <c r="M17" s="316"/>
    </row>
    <row r="18" spans="3:13" s="320" customFormat="1" ht="19.05" customHeight="1" x14ac:dyDescent="0.3">
      <c r="C18" s="328"/>
      <c r="D18" s="390"/>
      <c r="F18" s="323" t="s">
        <v>615</v>
      </c>
      <c r="G18" s="318" t="s">
        <v>608</v>
      </c>
      <c r="H18" s="318"/>
      <c r="I18" s="318"/>
      <c r="J18" s="318"/>
      <c r="K18" s="318"/>
      <c r="L18" s="318"/>
      <c r="M18" s="318"/>
    </row>
    <row r="19" spans="3:13" ht="4.95" customHeight="1" x14ac:dyDescent="0.3">
      <c r="D19" s="390"/>
      <c r="F19" s="47"/>
    </row>
    <row r="20" spans="3:13" s="320" customFormat="1" ht="19.05" customHeight="1" x14ac:dyDescent="0.3">
      <c r="C20" s="328"/>
      <c r="F20" s="388" t="s">
        <v>610</v>
      </c>
      <c r="G20" s="325" t="s">
        <v>611</v>
      </c>
      <c r="H20" s="324"/>
      <c r="I20" s="324"/>
      <c r="J20" s="324"/>
      <c r="K20" s="324"/>
      <c r="L20" s="324"/>
      <c r="M20" s="324"/>
    </row>
    <row r="21" spans="3:13" s="320" customFormat="1" ht="19.05" customHeight="1" x14ac:dyDescent="0.3">
      <c r="C21" s="328"/>
      <c r="F21" s="389"/>
      <c r="G21" s="326" t="s">
        <v>612</v>
      </c>
      <c r="H21" s="316"/>
      <c r="I21" s="316"/>
      <c r="J21" s="316"/>
      <c r="K21" s="316"/>
      <c r="L21" s="316"/>
      <c r="M21" s="316"/>
    </row>
    <row r="22" spans="3:13" x14ac:dyDescent="0.3">
      <c r="F22" s="391" t="s">
        <v>661</v>
      </c>
      <c r="G22" s="325" t="s">
        <v>662</v>
      </c>
      <c r="H22" s="324"/>
      <c r="I22" s="324"/>
      <c r="J22" s="324"/>
      <c r="K22" s="324"/>
      <c r="L22" s="324"/>
      <c r="M22" s="324"/>
    </row>
    <row r="23" spans="3:13" x14ac:dyDescent="0.3">
      <c r="F23" s="391"/>
      <c r="G23" s="325" t="s">
        <v>663</v>
      </c>
      <c r="H23" s="324"/>
      <c r="I23" s="324"/>
      <c r="J23" s="324"/>
      <c r="K23" s="324"/>
      <c r="L23" s="324"/>
      <c r="M23" s="324"/>
    </row>
    <row r="24" spans="3:13" x14ac:dyDescent="0.3">
      <c r="F24" s="392"/>
      <c r="G24" s="326" t="s">
        <v>664</v>
      </c>
      <c r="H24" s="316"/>
      <c r="I24" s="316"/>
      <c r="J24" s="316"/>
      <c r="K24" s="316"/>
      <c r="L24" s="316"/>
      <c r="M24" s="316"/>
    </row>
  </sheetData>
  <mergeCells count="4">
    <mergeCell ref="F12:M12"/>
    <mergeCell ref="F20:F21"/>
    <mergeCell ref="D14:D19"/>
    <mergeCell ref="F22:F2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79998168889431442"/>
  </sheetPr>
  <dimension ref="A1:G28"/>
  <sheetViews>
    <sheetView showGridLines="0" zoomScale="80" zoomScaleNormal="80" zoomScalePageLayoutView="80" workbookViewId="0">
      <selection activeCell="B3" sqref="B3"/>
    </sheetView>
  </sheetViews>
  <sheetFormatPr baseColWidth="10" defaultColWidth="11" defaultRowHeight="15.6" x14ac:dyDescent="0.3"/>
  <cols>
    <col min="1" max="1" width="4.69921875" customWidth="1"/>
    <col min="2" max="2" width="12.69921875" customWidth="1"/>
    <col min="3" max="7" width="16.5" customWidth="1"/>
  </cols>
  <sheetData>
    <row r="1" spans="1:7" ht="23.4" x14ac:dyDescent="0.45">
      <c r="A1" s="399" t="s">
        <v>380</v>
      </c>
      <c r="B1" s="399"/>
      <c r="C1" s="399"/>
      <c r="D1" s="399"/>
    </row>
    <row r="3" spans="1:7" x14ac:dyDescent="0.3">
      <c r="B3" s="59"/>
      <c r="C3" s="46" t="s">
        <v>0</v>
      </c>
      <c r="D3" s="46" t="s">
        <v>25</v>
      </c>
      <c r="E3" s="46" t="s">
        <v>1</v>
      </c>
      <c r="F3" s="46" t="s">
        <v>2</v>
      </c>
      <c r="G3" s="46" t="s">
        <v>427</v>
      </c>
    </row>
    <row r="4" spans="1:7" ht="27.6" x14ac:dyDescent="0.3">
      <c r="B4" s="58"/>
      <c r="C4" s="57" t="s">
        <v>24</v>
      </c>
      <c r="D4" s="57" t="s">
        <v>426</v>
      </c>
      <c r="E4" s="57" t="s">
        <v>428</v>
      </c>
      <c r="F4" s="57"/>
      <c r="G4" s="57" t="s">
        <v>429</v>
      </c>
    </row>
    <row r="5" spans="1:7" x14ac:dyDescent="0.3">
      <c r="B5" s="4" t="s">
        <v>3</v>
      </c>
      <c r="C5" s="51">
        <v>82.18</v>
      </c>
      <c r="D5" s="49">
        <f>C5/$C$24</f>
        <v>0.24178410662273092</v>
      </c>
      <c r="E5" s="51">
        <v>2791.1089000000002</v>
      </c>
      <c r="F5" s="49">
        <f>E5/$E$24</f>
        <v>0.28227480668924942</v>
      </c>
      <c r="G5" s="53">
        <f>IF($D5&gt;0.01,ROUND($D5,2)*100,1)</f>
        <v>24</v>
      </c>
    </row>
    <row r="6" spans="1:7" x14ac:dyDescent="0.3">
      <c r="B6" s="48" t="s">
        <v>4</v>
      </c>
      <c r="C6" s="52">
        <v>8.69</v>
      </c>
      <c r="D6" s="50">
        <f t="shared" ref="D6:D23" si="0">C6/$C$24</f>
        <v>2.5567095236694225E-2</v>
      </c>
      <c r="E6" s="52">
        <v>310.47039999999998</v>
      </c>
      <c r="F6" s="50">
        <f t="shared" ref="F6:F23" si="1">E6/$E$24</f>
        <v>3.1398979861636332E-2</v>
      </c>
      <c r="G6" s="54">
        <f t="shared" ref="G6:G23" si="2">IF($D6&gt;0.01,ROUND($D6,2)*100,1)</f>
        <v>3</v>
      </c>
    </row>
    <row r="7" spans="1:7" x14ac:dyDescent="0.3">
      <c r="B7" s="4" t="s">
        <v>5</v>
      </c>
      <c r="C7" s="51">
        <v>11.31</v>
      </c>
      <c r="D7" s="49">
        <f t="shared" si="0"/>
        <v>3.3275471476065792E-2</v>
      </c>
      <c r="E7" s="51">
        <v>383.74009999999998</v>
      </c>
      <c r="F7" s="49">
        <f t="shared" si="1"/>
        <v>3.880900617901839E-2</v>
      </c>
      <c r="G7" s="53">
        <f t="shared" si="2"/>
        <v>3</v>
      </c>
    </row>
    <row r="8" spans="1:7" x14ac:dyDescent="0.3">
      <c r="B8" s="48" t="s">
        <v>14</v>
      </c>
      <c r="C8" s="52">
        <v>0.85</v>
      </c>
      <c r="D8" s="50">
        <f t="shared" si="0"/>
        <v>2.5008090852923007E-3</v>
      </c>
      <c r="E8" s="52">
        <v>17.6555</v>
      </c>
      <c r="F8" s="50">
        <f t="shared" si="1"/>
        <v>1.7855637411718485E-3</v>
      </c>
      <c r="G8" s="54">
        <f t="shared" si="2"/>
        <v>1</v>
      </c>
    </row>
    <row r="9" spans="1:7" x14ac:dyDescent="0.3">
      <c r="B9" s="4" t="s">
        <v>6</v>
      </c>
      <c r="C9" s="51">
        <v>46.45</v>
      </c>
      <c r="D9" s="49">
        <f t="shared" si="0"/>
        <v>0.13666186119038515</v>
      </c>
      <c r="E9" s="51">
        <v>1068.2829999999999</v>
      </c>
      <c r="F9" s="49">
        <f t="shared" si="1"/>
        <v>0.10803927332051121</v>
      </c>
      <c r="G9" s="53">
        <f t="shared" si="2"/>
        <v>14.000000000000002</v>
      </c>
    </row>
    <row r="10" spans="1:7" x14ac:dyDescent="0.3">
      <c r="B10" s="48" t="s">
        <v>17</v>
      </c>
      <c r="C10" s="52">
        <v>1.32</v>
      </c>
      <c r="D10" s="50">
        <f t="shared" si="0"/>
        <v>3.8836094030421609E-3</v>
      </c>
      <c r="E10" s="52">
        <v>17.472000000000001</v>
      </c>
      <c r="F10" s="50">
        <f t="shared" si="1"/>
        <v>1.767005731118039E-3</v>
      </c>
      <c r="G10" s="54">
        <f t="shared" si="2"/>
        <v>1</v>
      </c>
    </row>
    <row r="11" spans="1:7" x14ac:dyDescent="0.3">
      <c r="B11" s="4" t="s">
        <v>7</v>
      </c>
      <c r="C11" s="51">
        <v>5.49</v>
      </c>
      <c r="D11" s="49">
        <f t="shared" si="0"/>
        <v>1.6152284562652625E-2</v>
      </c>
      <c r="E11" s="51">
        <v>187.054</v>
      </c>
      <c r="F11" s="49">
        <f t="shared" si="1"/>
        <v>1.8917438760791761E-2</v>
      </c>
      <c r="G11" s="53">
        <f t="shared" si="2"/>
        <v>2</v>
      </c>
    </row>
    <row r="12" spans="1:7" x14ac:dyDescent="0.3">
      <c r="B12" s="48" t="s">
        <v>8</v>
      </c>
      <c r="C12" s="52">
        <v>66.760000000000005</v>
      </c>
      <c r="D12" s="50">
        <f t="shared" si="0"/>
        <v>0.19641648768719294</v>
      </c>
      <c r="E12" s="52">
        <v>2094.982</v>
      </c>
      <c r="F12" s="50">
        <f t="shared" si="1"/>
        <v>0.21187300827547684</v>
      </c>
      <c r="G12" s="54">
        <f t="shared" si="2"/>
        <v>20</v>
      </c>
    </row>
    <row r="13" spans="1:7" x14ac:dyDescent="0.3">
      <c r="B13" s="4" t="s">
        <v>20</v>
      </c>
      <c r="C13" s="51">
        <v>10.78</v>
      </c>
      <c r="D13" s="49">
        <f t="shared" si="0"/>
        <v>3.1716143458177644E-2</v>
      </c>
      <c r="E13" s="51">
        <v>184.46809999999999</v>
      </c>
      <c r="F13" s="49">
        <f t="shared" si="1"/>
        <v>1.8655917462709219E-2</v>
      </c>
      <c r="G13" s="53">
        <f t="shared" si="2"/>
        <v>3</v>
      </c>
    </row>
    <row r="14" spans="1:7" x14ac:dyDescent="0.3">
      <c r="B14" s="48" t="s">
        <v>9</v>
      </c>
      <c r="C14" s="52">
        <v>4.72</v>
      </c>
      <c r="D14" s="50">
        <f t="shared" si="0"/>
        <v>1.3886845744211363E-2</v>
      </c>
      <c r="E14" s="52">
        <v>228.76689999999999</v>
      </c>
      <c r="F14" s="50">
        <f t="shared" si="1"/>
        <v>2.3136013243481416E-2</v>
      </c>
      <c r="G14" s="54">
        <f t="shared" si="2"/>
        <v>1</v>
      </c>
    </row>
    <row r="15" spans="1:7" x14ac:dyDescent="0.3">
      <c r="B15" s="4" t="s">
        <v>10</v>
      </c>
      <c r="C15" s="51">
        <v>60.67</v>
      </c>
      <c r="D15" s="49">
        <f t="shared" si="0"/>
        <v>0.17849892612315751</v>
      </c>
      <c r="E15" s="51">
        <v>1553.8758</v>
      </c>
      <c r="F15" s="49">
        <f t="shared" si="1"/>
        <v>0.15714900664180562</v>
      </c>
      <c r="G15" s="53">
        <f t="shared" si="2"/>
        <v>18</v>
      </c>
    </row>
    <row r="16" spans="1:7" x14ac:dyDescent="0.3">
      <c r="B16" s="48" t="s">
        <v>18</v>
      </c>
      <c r="C16" s="52">
        <v>1.97</v>
      </c>
      <c r="D16" s="50">
        <f t="shared" si="0"/>
        <v>5.795992821206861E-3</v>
      </c>
      <c r="E16" s="52">
        <v>21.208400000000001</v>
      </c>
      <c r="F16" s="50">
        <f t="shared" si="1"/>
        <v>2.1448812012273247E-3</v>
      </c>
      <c r="G16" s="54">
        <f t="shared" si="2"/>
        <v>1</v>
      </c>
    </row>
    <row r="17" spans="2:7" x14ac:dyDescent="0.3">
      <c r="B17" s="4" t="s">
        <v>19</v>
      </c>
      <c r="C17" s="51">
        <v>2.89</v>
      </c>
      <c r="D17" s="49">
        <f t="shared" si="0"/>
        <v>8.5027508899938216E-3</v>
      </c>
      <c r="E17" s="51">
        <v>33.649799999999999</v>
      </c>
      <c r="F17" s="49">
        <f t="shared" si="1"/>
        <v>3.4031243962325884E-3</v>
      </c>
      <c r="G17" s="53">
        <f t="shared" si="2"/>
        <v>1</v>
      </c>
    </row>
    <row r="18" spans="2:7" x14ac:dyDescent="0.3">
      <c r="B18" s="48" t="s">
        <v>11</v>
      </c>
      <c r="C18" s="52">
        <v>0.57999999999999996</v>
      </c>
      <c r="D18" s="50">
        <f t="shared" si="0"/>
        <v>1.7064344346700404E-3</v>
      </c>
      <c r="E18" s="52">
        <v>46.030900000000003</v>
      </c>
      <c r="F18" s="50">
        <f t="shared" si="1"/>
        <v>4.6552692369803885E-3</v>
      </c>
      <c r="G18" s="54">
        <f t="shared" si="2"/>
        <v>1</v>
      </c>
    </row>
    <row r="19" spans="2:7" x14ac:dyDescent="0.3">
      <c r="B19" s="4" t="s">
        <v>15</v>
      </c>
      <c r="C19" s="51">
        <v>0.43</v>
      </c>
      <c r="D19" s="49">
        <f t="shared" si="0"/>
        <v>1.2651151843243403E-3</v>
      </c>
      <c r="E19" s="51">
        <v>8.3706999999999994</v>
      </c>
      <c r="F19" s="49">
        <f t="shared" si="1"/>
        <v>8.4655877252001873E-4</v>
      </c>
      <c r="G19" s="53">
        <f t="shared" si="2"/>
        <v>1</v>
      </c>
    </row>
    <row r="20" spans="2:7" x14ac:dyDescent="0.3">
      <c r="B20" s="48" t="s">
        <v>12</v>
      </c>
      <c r="C20" s="52">
        <v>16.98</v>
      </c>
      <c r="D20" s="50">
        <f t="shared" si="0"/>
        <v>4.995733913913325E-2</v>
      </c>
      <c r="E20" s="52">
        <v>655.57370000000003</v>
      </c>
      <c r="F20" s="50">
        <f t="shared" si="1"/>
        <v>6.6300508531951574E-2</v>
      </c>
      <c r="G20" s="54">
        <f t="shared" si="2"/>
        <v>5</v>
      </c>
    </row>
    <row r="21" spans="2:7" x14ac:dyDescent="0.3">
      <c r="B21" s="4" t="s">
        <v>13</v>
      </c>
      <c r="C21" s="51">
        <v>10.34</v>
      </c>
      <c r="D21" s="49">
        <f t="shared" si="0"/>
        <v>3.0421606990496928E-2</v>
      </c>
      <c r="E21" s="51">
        <v>171.8064</v>
      </c>
      <c r="F21" s="49">
        <f t="shared" si="1"/>
        <v>1.7375394542282409E-2</v>
      </c>
      <c r="G21" s="53">
        <f t="shared" si="2"/>
        <v>3</v>
      </c>
    </row>
    <row r="22" spans="2:7" x14ac:dyDescent="0.3">
      <c r="B22" s="48" t="s">
        <v>16</v>
      </c>
      <c r="C22" s="52">
        <v>5.43</v>
      </c>
      <c r="D22" s="50">
        <f t="shared" si="0"/>
        <v>1.5975756862514342E-2</v>
      </c>
      <c r="E22" s="52">
        <v>76.346599999999995</v>
      </c>
      <c r="F22" s="50">
        <f t="shared" si="1"/>
        <v>7.7212041982243854E-3</v>
      </c>
      <c r="G22" s="54">
        <f t="shared" si="2"/>
        <v>2</v>
      </c>
    </row>
    <row r="23" spans="2:7" x14ac:dyDescent="0.3">
      <c r="B23" s="4" t="s">
        <v>21</v>
      </c>
      <c r="C23" s="51">
        <v>2.06</v>
      </c>
      <c r="D23" s="49">
        <f t="shared" si="0"/>
        <v>6.0607843714142818E-3</v>
      </c>
      <c r="E23" s="51">
        <v>37.050400000000003</v>
      </c>
      <c r="F23" s="49">
        <f t="shared" si="1"/>
        <v>3.7470392136112521E-3</v>
      </c>
      <c r="G23" s="53">
        <f t="shared" si="2"/>
        <v>1</v>
      </c>
    </row>
    <row r="24" spans="2:7" x14ac:dyDescent="0.3">
      <c r="B24" s="5" t="s">
        <v>22</v>
      </c>
      <c r="C24" s="6">
        <v>339.89</v>
      </c>
      <c r="D24" s="7"/>
      <c r="E24" s="55">
        <f>SUM(E5:E23)</f>
        <v>9887.9135999999999</v>
      </c>
      <c r="F24" s="7"/>
      <c r="G24" s="56">
        <f>SUM(G5:G23)</f>
        <v>105</v>
      </c>
    </row>
    <row r="26" spans="2:7" x14ac:dyDescent="0.3">
      <c r="B26" s="2" t="s">
        <v>26</v>
      </c>
    </row>
    <row r="27" spans="2:7" x14ac:dyDescent="0.3">
      <c r="B27" t="s">
        <v>25</v>
      </c>
      <c r="C27" s="3" t="s">
        <v>23</v>
      </c>
    </row>
    <row r="28" spans="2:7" x14ac:dyDescent="0.3">
      <c r="B28" t="s">
        <v>27</v>
      </c>
      <c r="C28" s="3" t="s">
        <v>28</v>
      </c>
      <c r="F28" t="s">
        <v>29</v>
      </c>
    </row>
  </sheetData>
  <sortState ref="B4:B22">
    <sortCondition ref="B4"/>
  </sortState>
  <mergeCells count="1">
    <mergeCell ref="A1:D1"/>
  </mergeCells>
  <hyperlinks>
    <hyperlink ref="C27" r:id="rId1"/>
    <hyperlink ref="C28" r:id="rId2"/>
  </hyperlinks>
  <pageMargins left="0.75" right="0.75" top="1" bottom="1" header="0.5" footer="0.5"/>
  <pageSetup paperSize="9" orientation="portrait"/>
  <drawing r:id="rId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79998168889431442"/>
  </sheetPr>
  <dimension ref="A1:I19"/>
  <sheetViews>
    <sheetView workbookViewId="0">
      <selection activeCell="A2" sqref="A2"/>
    </sheetView>
  </sheetViews>
  <sheetFormatPr baseColWidth="10" defaultRowHeight="15.6" x14ac:dyDescent="0.3"/>
  <cols>
    <col min="1" max="1" width="4.69921875" customWidth="1"/>
    <col min="2" max="2" width="22.19921875" customWidth="1"/>
    <col min="3" max="3" width="20.5" customWidth="1"/>
    <col min="5" max="5" width="33.19921875" customWidth="1"/>
  </cols>
  <sheetData>
    <row r="1" spans="1:9" s="17" customFormat="1" ht="23.4" x14ac:dyDescent="0.45">
      <c r="A1" s="399" t="s">
        <v>641</v>
      </c>
      <c r="B1" s="399"/>
      <c r="C1" s="399"/>
      <c r="D1" s="399"/>
    </row>
    <row r="3" spans="1:9" x14ac:dyDescent="0.3">
      <c r="B3" s="17" t="s">
        <v>430</v>
      </c>
    </row>
    <row r="6" spans="1:9" ht="18.600000000000001" thickBot="1" x14ac:dyDescent="0.35">
      <c r="B6" s="61" t="s">
        <v>642</v>
      </c>
      <c r="C6" s="337"/>
      <c r="D6" s="17"/>
      <c r="E6" s="17"/>
    </row>
    <row r="7" spans="1:9" x14ac:dyDescent="0.3">
      <c r="B7" s="18" t="s">
        <v>492</v>
      </c>
      <c r="C7" s="19" t="s">
        <v>43</v>
      </c>
      <c r="D7" s="19"/>
      <c r="E7" s="19" t="s">
        <v>640</v>
      </c>
    </row>
    <row r="8" spans="1:9" x14ac:dyDescent="0.3">
      <c r="B8" s="30"/>
      <c r="C8" s="17"/>
      <c r="D8" s="17"/>
      <c r="E8" s="17"/>
    </row>
    <row r="9" spans="1:9" x14ac:dyDescent="0.3">
      <c r="B9" s="31" t="s">
        <v>643</v>
      </c>
      <c r="C9" s="32" t="s">
        <v>30</v>
      </c>
      <c r="D9" s="33" t="s">
        <v>55</v>
      </c>
      <c r="E9" s="33" t="s">
        <v>57</v>
      </c>
      <c r="H9" s="344" t="s">
        <v>222</v>
      </c>
      <c r="I9" s="344">
        <v>18</v>
      </c>
    </row>
    <row r="10" spans="1:9" ht="28.8" x14ac:dyDescent="0.3">
      <c r="B10" s="34" t="s">
        <v>33</v>
      </c>
      <c r="C10" s="35">
        <v>217</v>
      </c>
      <c r="D10" s="340">
        <f>C10/$C$19</f>
        <v>0.28894806924101196</v>
      </c>
      <c r="E10" s="34" t="s">
        <v>644</v>
      </c>
      <c r="H10" s="344" t="s">
        <v>59</v>
      </c>
      <c r="I10" s="344">
        <v>52</v>
      </c>
    </row>
    <row r="11" spans="1:9" ht="43.2" x14ac:dyDescent="0.3">
      <c r="B11" s="24" t="s">
        <v>99</v>
      </c>
      <c r="C11" s="22">
        <v>189</v>
      </c>
      <c r="D11" s="341">
        <f t="shared" ref="D11:D18" si="0">C11/$C$19</f>
        <v>0.25166444740346205</v>
      </c>
      <c r="E11" s="338" t="s">
        <v>647</v>
      </c>
      <c r="H11" s="344" t="s">
        <v>99</v>
      </c>
      <c r="I11" s="344">
        <v>189</v>
      </c>
    </row>
    <row r="12" spans="1:9" ht="28.8" x14ac:dyDescent="0.3">
      <c r="B12" s="34" t="s">
        <v>645</v>
      </c>
      <c r="C12" s="35">
        <v>74</v>
      </c>
      <c r="D12" s="340">
        <f t="shared" si="0"/>
        <v>9.8535286284953394E-2</v>
      </c>
      <c r="E12" s="339" t="s">
        <v>646</v>
      </c>
      <c r="H12" s="344" t="s">
        <v>432</v>
      </c>
      <c r="I12" s="344">
        <v>51</v>
      </c>
    </row>
    <row r="13" spans="1:9" ht="28.8" x14ac:dyDescent="0.3">
      <c r="B13" s="24" t="s">
        <v>53</v>
      </c>
      <c r="C13" s="22">
        <v>68</v>
      </c>
      <c r="D13" s="341">
        <f t="shared" si="0"/>
        <v>9.0545938748335553E-2</v>
      </c>
      <c r="E13" s="338" t="s">
        <v>648</v>
      </c>
      <c r="H13" s="344" t="s">
        <v>53</v>
      </c>
      <c r="I13" s="344">
        <v>68</v>
      </c>
    </row>
    <row r="14" spans="1:9" ht="28.8" x14ac:dyDescent="0.3">
      <c r="B14" s="34" t="s">
        <v>59</v>
      </c>
      <c r="C14" s="35">
        <v>52</v>
      </c>
      <c r="D14" s="340">
        <f t="shared" si="0"/>
        <v>6.92410119840213E-2</v>
      </c>
      <c r="E14" s="339" t="s">
        <v>649</v>
      </c>
      <c r="H14" s="344" t="s">
        <v>33</v>
      </c>
      <c r="I14" s="344">
        <v>217</v>
      </c>
    </row>
    <row r="15" spans="1:9" x14ac:dyDescent="0.3">
      <c r="B15" s="24" t="s">
        <v>432</v>
      </c>
      <c r="C15" s="22">
        <v>51</v>
      </c>
      <c r="D15" s="341">
        <f t="shared" si="0"/>
        <v>6.7909454061251665E-2</v>
      </c>
      <c r="E15" s="338" t="s">
        <v>650</v>
      </c>
      <c r="H15" s="344" t="s">
        <v>645</v>
      </c>
      <c r="I15" s="344">
        <v>74</v>
      </c>
    </row>
    <row r="16" spans="1:9" ht="28.8" x14ac:dyDescent="0.3">
      <c r="B16" s="34" t="s">
        <v>652</v>
      </c>
      <c r="C16" s="35">
        <v>42</v>
      </c>
      <c r="D16" s="340">
        <f t="shared" si="0"/>
        <v>5.5925432756324903E-2</v>
      </c>
      <c r="E16" s="339" t="s">
        <v>651</v>
      </c>
      <c r="H16" s="344" t="s">
        <v>652</v>
      </c>
      <c r="I16" s="344">
        <v>42</v>
      </c>
    </row>
    <row r="17" spans="2:9" x14ac:dyDescent="0.3">
      <c r="B17" s="24" t="s">
        <v>653</v>
      </c>
      <c r="C17" s="22">
        <v>40</v>
      </c>
      <c r="D17" s="341">
        <f t="shared" si="0"/>
        <v>5.3262316910785618E-2</v>
      </c>
      <c r="E17" s="338" t="s">
        <v>654</v>
      </c>
      <c r="H17" s="344" t="s">
        <v>653</v>
      </c>
      <c r="I17" s="344">
        <v>40</v>
      </c>
    </row>
    <row r="18" spans="2:9" x14ac:dyDescent="0.3">
      <c r="B18" s="34" t="s">
        <v>222</v>
      </c>
      <c r="C18" s="35">
        <v>18</v>
      </c>
      <c r="D18" s="340">
        <f t="shared" si="0"/>
        <v>2.3968042609853527E-2</v>
      </c>
      <c r="E18" s="339"/>
      <c r="H18" s="344" t="s">
        <v>631</v>
      </c>
      <c r="I18" s="344">
        <f>SUM(I9:I17)</f>
        <v>751</v>
      </c>
    </row>
    <row r="19" spans="2:9" x14ac:dyDescent="0.3">
      <c r="B19" s="39" t="s">
        <v>22</v>
      </c>
      <c r="C19" s="40">
        <f>SUM(C10:C18)</f>
        <v>751</v>
      </c>
      <c r="D19" s="41"/>
      <c r="E19" s="41"/>
    </row>
  </sheetData>
  <mergeCells count="1">
    <mergeCell ref="A1:D1"/>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79998168889431442"/>
  </sheetPr>
  <dimension ref="A1:O285"/>
  <sheetViews>
    <sheetView showGridLines="0" zoomScale="90" zoomScaleNormal="90" zoomScalePageLayoutView="90" workbookViewId="0">
      <selection activeCell="A2" sqref="A2"/>
    </sheetView>
  </sheetViews>
  <sheetFormatPr baseColWidth="10" defaultColWidth="11" defaultRowHeight="14.4" x14ac:dyDescent="0.3"/>
  <cols>
    <col min="1" max="1" width="3.69921875" style="17" customWidth="1"/>
    <col min="2" max="2" width="21.296875" style="17" customWidth="1"/>
    <col min="3" max="3" width="18.296875" style="17" customWidth="1"/>
    <col min="4" max="4" width="11" style="17"/>
    <col min="5" max="5" width="56.19921875" style="17" customWidth="1"/>
    <col min="6" max="6" width="19.19921875" style="17" customWidth="1"/>
    <col min="7" max="10" width="11" style="17"/>
    <col min="11" max="11" width="38.296875" style="17" bestFit="1" customWidth="1"/>
    <col min="12" max="12" width="19.5" style="17" customWidth="1"/>
    <col min="13" max="13" width="9.5" style="17" customWidth="1"/>
    <col min="14" max="14" width="35" style="17" customWidth="1"/>
    <col min="15" max="15" width="19.19921875" style="17" customWidth="1"/>
    <col min="16" max="16384" width="11" style="17"/>
  </cols>
  <sheetData>
    <row r="1" spans="1:15" ht="23.4" x14ac:dyDescent="0.45">
      <c r="A1" s="399" t="s">
        <v>435</v>
      </c>
      <c r="B1" s="399"/>
      <c r="C1" s="399"/>
      <c r="D1" s="399"/>
    </row>
    <row r="2" spans="1:15" ht="12" customHeight="1" x14ac:dyDescent="0.45">
      <c r="A2" s="329"/>
      <c r="B2" s="329"/>
      <c r="C2" s="329"/>
      <c r="D2" s="329"/>
    </row>
    <row r="3" spans="1:15" ht="23.4" x14ac:dyDescent="0.45">
      <c r="A3" s="329"/>
      <c r="B3" s="399" t="s">
        <v>478</v>
      </c>
      <c r="C3" s="399"/>
      <c r="D3" s="399"/>
      <c r="E3" s="399"/>
      <c r="F3" s="399"/>
      <c r="K3" s="399" t="s">
        <v>479</v>
      </c>
      <c r="L3" s="399"/>
      <c r="M3" s="399"/>
      <c r="N3" s="399"/>
      <c r="O3" s="399"/>
    </row>
    <row r="5" spans="1:15" x14ac:dyDescent="0.3">
      <c r="B5" s="17" t="s">
        <v>430</v>
      </c>
      <c r="K5" s="17" t="s">
        <v>480</v>
      </c>
    </row>
    <row r="7" spans="1:15" ht="18.600000000000001" thickBot="1" x14ac:dyDescent="0.35">
      <c r="B7" s="61" t="s">
        <v>3</v>
      </c>
      <c r="C7" s="60" t="s">
        <v>37</v>
      </c>
      <c r="K7" s="61" t="s">
        <v>3</v>
      </c>
      <c r="L7" s="60" t="s">
        <v>481</v>
      </c>
    </row>
    <row r="8" spans="1:15" x14ac:dyDescent="0.3">
      <c r="B8" s="18" t="s">
        <v>42</v>
      </c>
      <c r="C8" s="19" t="s">
        <v>41</v>
      </c>
      <c r="D8" s="19"/>
      <c r="E8" s="19" t="s">
        <v>88</v>
      </c>
      <c r="F8" s="19"/>
      <c r="K8" s="18" t="s">
        <v>484</v>
      </c>
      <c r="L8" s="19" t="s">
        <v>483</v>
      </c>
      <c r="M8" s="19"/>
      <c r="N8" s="19" t="s">
        <v>482</v>
      </c>
      <c r="O8" s="19"/>
    </row>
    <row r="9" spans="1:15" x14ac:dyDescent="0.3">
      <c r="B9" s="20"/>
      <c r="K9" s="20"/>
    </row>
    <row r="10" spans="1:15" x14ac:dyDescent="0.3">
      <c r="B10" s="21" t="s">
        <v>54</v>
      </c>
      <c r="C10" s="22" t="s">
        <v>30</v>
      </c>
      <c r="D10" s="23" t="s">
        <v>55</v>
      </c>
      <c r="E10" s="23" t="s">
        <v>57</v>
      </c>
      <c r="F10" s="22" t="s">
        <v>58</v>
      </c>
      <c r="K10" s="21" t="s">
        <v>54</v>
      </c>
      <c r="L10" s="22" t="s">
        <v>30</v>
      </c>
      <c r="M10" s="23" t="s">
        <v>55</v>
      </c>
      <c r="N10" s="23" t="s">
        <v>57</v>
      </c>
      <c r="O10" s="22" t="s">
        <v>58</v>
      </c>
    </row>
    <row r="11" spans="1:15" ht="43.2" x14ac:dyDescent="0.3">
      <c r="B11" s="24" t="s">
        <v>381</v>
      </c>
      <c r="C11" s="22">
        <v>310</v>
      </c>
      <c r="D11" s="25">
        <f>C11/$C$15</f>
        <v>0.49206349206349204</v>
      </c>
      <c r="E11" s="24" t="s">
        <v>56</v>
      </c>
      <c r="F11" s="22" t="s">
        <v>33</v>
      </c>
      <c r="K11" s="24" t="s">
        <v>381</v>
      </c>
      <c r="L11" s="22">
        <f>13+6</f>
        <v>19</v>
      </c>
      <c r="M11" s="25">
        <f>L11/$L$17</f>
        <v>0.27536231884057971</v>
      </c>
      <c r="N11" s="24" t="s">
        <v>56</v>
      </c>
      <c r="O11" s="22" t="s">
        <v>33</v>
      </c>
    </row>
    <row r="12" spans="1:15" x14ac:dyDescent="0.3">
      <c r="B12" s="24" t="s">
        <v>31</v>
      </c>
      <c r="C12" s="22">
        <v>193</v>
      </c>
      <c r="D12" s="25">
        <f>C12/$C$15</f>
        <v>0.30634920634920637</v>
      </c>
      <c r="E12" s="17" t="s">
        <v>32</v>
      </c>
      <c r="F12" s="26" t="s">
        <v>99</v>
      </c>
      <c r="K12" s="24" t="s">
        <v>31</v>
      </c>
      <c r="L12" s="22">
        <v>28</v>
      </c>
      <c r="M12" s="25">
        <f t="shared" ref="M12:M16" si="0">L12/$L$17</f>
        <v>0.40579710144927539</v>
      </c>
      <c r="N12" s="17" t="s">
        <v>32</v>
      </c>
      <c r="O12" s="26" t="s">
        <v>99</v>
      </c>
    </row>
    <row r="13" spans="1:15" x14ac:dyDescent="0.3">
      <c r="B13" s="24" t="s">
        <v>34</v>
      </c>
      <c r="C13" s="22">
        <v>64</v>
      </c>
      <c r="D13" s="25">
        <f>C13/$C$15</f>
        <v>0.10158730158730159</v>
      </c>
      <c r="E13" s="17" t="s">
        <v>60</v>
      </c>
      <c r="F13" s="22" t="s">
        <v>59</v>
      </c>
      <c r="K13" s="24" t="s">
        <v>34</v>
      </c>
      <c r="L13" s="22">
        <v>5</v>
      </c>
      <c r="M13" s="25">
        <f t="shared" si="0"/>
        <v>7.2463768115942032E-2</v>
      </c>
      <c r="N13" s="17" t="s">
        <v>60</v>
      </c>
      <c r="O13" s="22" t="s">
        <v>59</v>
      </c>
    </row>
    <row r="14" spans="1:15" x14ac:dyDescent="0.3">
      <c r="B14" s="24" t="s">
        <v>35</v>
      </c>
      <c r="C14" s="22">
        <v>63</v>
      </c>
      <c r="D14" s="25">
        <f>C14/$C$15</f>
        <v>0.1</v>
      </c>
      <c r="E14" s="17" t="s">
        <v>36</v>
      </c>
      <c r="F14" s="23" t="s">
        <v>432</v>
      </c>
      <c r="K14" s="24" t="s">
        <v>441</v>
      </c>
      <c r="L14" s="22">
        <v>15</v>
      </c>
      <c r="M14" s="25">
        <f t="shared" si="0"/>
        <v>0.21739130434782608</v>
      </c>
      <c r="N14" s="17" t="s">
        <v>485</v>
      </c>
      <c r="O14" s="23" t="s">
        <v>432</v>
      </c>
    </row>
    <row r="15" spans="1:15" x14ac:dyDescent="0.3">
      <c r="B15" s="27" t="s">
        <v>22</v>
      </c>
      <c r="C15" s="28">
        <f>SUM(C11:C14)</f>
        <v>630</v>
      </c>
      <c r="D15" s="29">
        <f>SUM(D11:D14)</f>
        <v>1</v>
      </c>
      <c r="E15" s="29"/>
      <c r="F15" s="29"/>
      <c r="K15" s="24" t="s">
        <v>486</v>
      </c>
      <c r="L15" s="22">
        <v>1</v>
      </c>
      <c r="M15" s="25">
        <f>L15/$L$17</f>
        <v>1.4492753623188406E-2</v>
      </c>
      <c r="N15" s="24" t="s">
        <v>487</v>
      </c>
      <c r="O15" s="22" t="s">
        <v>53</v>
      </c>
    </row>
    <row r="16" spans="1:15" ht="15.6" x14ac:dyDescent="0.3">
      <c r="K16" t="s">
        <v>489</v>
      </c>
      <c r="L16" s="22">
        <v>1</v>
      </c>
      <c r="M16" s="25">
        <f t="shared" si="0"/>
        <v>1.4492753623188406E-2</v>
      </c>
      <c r="N16" s="24"/>
      <c r="O16" s="22"/>
    </row>
    <row r="17" spans="2:15" x14ac:dyDescent="0.3">
      <c r="K17" s="217" t="s">
        <v>22</v>
      </c>
      <c r="L17" s="218">
        <f>SUM(L11:L16)</f>
        <v>69</v>
      </c>
      <c r="M17" s="219">
        <f>SUM(M11:M16)</f>
        <v>0.99999999999999989</v>
      </c>
      <c r="N17" s="220"/>
      <c r="O17" s="220"/>
    </row>
    <row r="18" spans="2:15" ht="31.8" thickBot="1" x14ac:dyDescent="0.35">
      <c r="B18" s="61" t="s">
        <v>4</v>
      </c>
      <c r="C18" s="60" t="s">
        <v>382</v>
      </c>
    </row>
    <row r="19" spans="2:15" ht="18.600000000000001" thickBot="1" x14ac:dyDescent="0.35">
      <c r="B19" s="18" t="s">
        <v>42</v>
      </c>
      <c r="C19" s="19" t="s">
        <v>43</v>
      </c>
      <c r="D19" s="19"/>
      <c r="E19" s="19" t="s">
        <v>45</v>
      </c>
      <c r="F19" s="19"/>
      <c r="K19" s="61" t="s">
        <v>4</v>
      </c>
      <c r="L19" s="60" t="s">
        <v>481</v>
      </c>
    </row>
    <row r="20" spans="2:15" x14ac:dyDescent="0.3">
      <c r="B20" s="30"/>
      <c r="K20" s="18"/>
      <c r="L20" s="19"/>
      <c r="M20" s="19"/>
      <c r="N20" s="19" t="s">
        <v>490</v>
      </c>
      <c r="O20" s="19"/>
    </row>
    <row r="21" spans="2:15" x14ac:dyDescent="0.3">
      <c r="B21" s="31" t="s">
        <v>54</v>
      </c>
      <c r="C21" s="32" t="s">
        <v>30</v>
      </c>
      <c r="D21" s="33" t="s">
        <v>55</v>
      </c>
      <c r="E21" s="33" t="s">
        <v>57</v>
      </c>
      <c r="F21" s="32" t="s">
        <v>58</v>
      </c>
      <c r="K21" s="30"/>
    </row>
    <row r="22" spans="2:15" ht="28.8" x14ac:dyDescent="0.3">
      <c r="B22" s="34" t="s">
        <v>383</v>
      </c>
      <c r="C22" s="35">
        <v>52</v>
      </c>
      <c r="D22" s="36">
        <f>C22/$C$29</f>
        <v>0.28415300546448086</v>
      </c>
      <c r="E22" s="37" t="s">
        <v>47</v>
      </c>
      <c r="F22" s="35" t="s">
        <v>99</v>
      </c>
      <c r="K22" s="31" t="s">
        <v>54</v>
      </c>
      <c r="L22" s="32" t="s">
        <v>30</v>
      </c>
      <c r="M22" s="33" t="s">
        <v>55</v>
      </c>
      <c r="N22" s="33" t="s">
        <v>57</v>
      </c>
      <c r="O22" s="32" t="s">
        <v>58</v>
      </c>
    </row>
    <row r="23" spans="2:15" ht="28.8" x14ac:dyDescent="0.3">
      <c r="B23" s="24" t="s">
        <v>384</v>
      </c>
      <c r="C23" s="22">
        <v>50</v>
      </c>
      <c r="D23" s="25">
        <f t="shared" ref="D23:D28" si="1">C23/$C$29</f>
        <v>0.27322404371584702</v>
      </c>
      <c r="E23" s="38" t="s">
        <v>46</v>
      </c>
      <c r="F23" s="22" t="s">
        <v>33</v>
      </c>
      <c r="K23" s="34" t="s">
        <v>383</v>
      </c>
      <c r="L23" s="35">
        <v>20</v>
      </c>
      <c r="M23" s="36">
        <f>L23/$L$29</f>
        <v>0.32786885245901637</v>
      </c>
      <c r="N23" s="37" t="s">
        <v>47</v>
      </c>
      <c r="O23" s="35" t="s">
        <v>99</v>
      </c>
    </row>
    <row r="24" spans="2:15" ht="28.8" x14ac:dyDescent="0.3">
      <c r="B24" s="34" t="s">
        <v>40</v>
      </c>
      <c r="C24" s="35">
        <v>38</v>
      </c>
      <c r="D24" s="36">
        <f t="shared" si="1"/>
        <v>0.20765027322404372</v>
      </c>
      <c r="E24" s="37" t="s">
        <v>48</v>
      </c>
      <c r="F24" s="35" t="s">
        <v>433</v>
      </c>
      <c r="K24" s="24" t="s">
        <v>384</v>
      </c>
      <c r="L24" s="22">
        <v>22</v>
      </c>
      <c r="M24" s="25">
        <f t="shared" ref="M24:M29" si="2">L24/$L$29</f>
        <v>0.36065573770491804</v>
      </c>
      <c r="N24" s="38" t="s">
        <v>46</v>
      </c>
      <c r="O24" s="22" t="s">
        <v>33</v>
      </c>
    </row>
    <row r="25" spans="2:15" ht="28.8" x14ac:dyDescent="0.3">
      <c r="B25" s="24" t="s">
        <v>49</v>
      </c>
      <c r="C25" s="22">
        <v>24</v>
      </c>
      <c r="D25" s="25">
        <f t="shared" si="1"/>
        <v>0.13114754098360656</v>
      </c>
      <c r="E25" s="38" t="s">
        <v>50</v>
      </c>
      <c r="F25" s="22" t="s">
        <v>432</v>
      </c>
      <c r="K25" s="34" t="s">
        <v>40</v>
      </c>
      <c r="L25" s="35">
        <v>13</v>
      </c>
      <c r="M25" s="36">
        <f t="shared" si="2"/>
        <v>0.21311475409836064</v>
      </c>
      <c r="N25" s="37" t="s">
        <v>48</v>
      </c>
      <c r="O25" s="35" t="s">
        <v>433</v>
      </c>
    </row>
    <row r="26" spans="2:15" x14ac:dyDescent="0.3">
      <c r="B26" s="34" t="s">
        <v>39</v>
      </c>
      <c r="C26" s="35">
        <v>6</v>
      </c>
      <c r="D26" s="36">
        <f t="shared" si="1"/>
        <v>3.2786885245901641E-2</v>
      </c>
      <c r="E26" s="37" t="s">
        <v>51</v>
      </c>
      <c r="F26" s="35" t="s">
        <v>61</v>
      </c>
      <c r="K26" s="24" t="s">
        <v>49</v>
      </c>
      <c r="L26" s="22">
        <v>4</v>
      </c>
      <c r="M26" s="25">
        <f t="shared" si="2"/>
        <v>6.5573770491803282E-2</v>
      </c>
      <c r="N26" s="38" t="s">
        <v>50</v>
      </c>
      <c r="O26" s="22" t="s">
        <v>432</v>
      </c>
    </row>
    <row r="27" spans="2:15" ht="28.8" x14ac:dyDescent="0.3">
      <c r="B27" s="24" t="s">
        <v>38</v>
      </c>
      <c r="C27" s="22">
        <v>9</v>
      </c>
      <c r="D27" s="25">
        <f t="shared" si="1"/>
        <v>4.9180327868852458E-2</v>
      </c>
      <c r="E27" s="38" t="s">
        <v>52</v>
      </c>
      <c r="F27" s="22" t="s">
        <v>431</v>
      </c>
      <c r="K27" s="34" t="s">
        <v>39</v>
      </c>
      <c r="L27" s="35">
        <v>1</v>
      </c>
      <c r="M27" s="36">
        <f t="shared" si="2"/>
        <v>1.6393442622950821E-2</v>
      </c>
      <c r="N27" s="37" t="s">
        <v>51</v>
      </c>
      <c r="O27" s="35" t="s">
        <v>61</v>
      </c>
    </row>
    <row r="28" spans="2:15" x14ac:dyDescent="0.3">
      <c r="B28" s="34" t="s">
        <v>44</v>
      </c>
      <c r="C28" s="35">
        <v>4</v>
      </c>
      <c r="D28" s="36">
        <f t="shared" si="1"/>
        <v>2.185792349726776E-2</v>
      </c>
      <c r="E28" s="34"/>
      <c r="F28" s="35" t="s">
        <v>61</v>
      </c>
      <c r="K28" s="24" t="s">
        <v>488</v>
      </c>
      <c r="L28" s="22">
        <v>1</v>
      </c>
      <c r="M28" s="25">
        <f t="shared" si="2"/>
        <v>1.6393442622950821E-2</v>
      </c>
      <c r="N28" s="38"/>
      <c r="O28" s="22" t="s">
        <v>61</v>
      </c>
    </row>
    <row r="29" spans="2:15" x14ac:dyDescent="0.3">
      <c r="B29" s="39" t="s">
        <v>22</v>
      </c>
      <c r="C29" s="40">
        <f>SUM(C22:C28)</f>
        <v>183</v>
      </c>
      <c r="D29" s="41">
        <f>SUM(D25:D28)</f>
        <v>0.23497267759562843</v>
      </c>
      <c r="E29" s="41"/>
      <c r="F29" s="41"/>
      <c r="K29" s="39" t="s">
        <v>22</v>
      </c>
      <c r="L29" s="40">
        <f>SUM(L23:L28)</f>
        <v>61</v>
      </c>
      <c r="M29" s="42">
        <f t="shared" si="2"/>
        <v>1</v>
      </c>
      <c r="N29" s="41"/>
      <c r="O29" s="41"/>
    </row>
    <row r="32" spans="2:15" ht="31.8" thickBot="1" x14ac:dyDescent="0.35">
      <c r="B32" s="61" t="s">
        <v>5</v>
      </c>
      <c r="C32" s="60" t="s">
        <v>65</v>
      </c>
    </row>
    <row r="33" spans="2:15" ht="31.8" thickBot="1" x14ac:dyDescent="0.35">
      <c r="B33" s="18" t="s">
        <v>73</v>
      </c>
      <c r="C33" s="19" t="s">
        <v>74</v>
      </c>
      <c r="D33" s="19"/>
      <c r="E33" s="19" t="s">
        <v>87</v>
      </c>
      <c r="F33" s="19"/>
      <c r="K33" s="61" t="s">
        <v>5</v>
      </c>
      <c r="L33" s="60" t="s">
        <v>65</v>
      </c>
    </row>
    <row r="34" spans="2:15" x14ac:dyDescent="0.3">
      <c r="B34" s="30"/>
      <c r="K34" s="18" t="s">
        <v>492</v>
      </c>
      <c r="L34" s="19" t="s">
        <v>74</v>
      </c>
      <c r="M34" s="19"/>
      <c r="N34" s="19" t="s">
        <v>491</v>
      </c>
      <c r="O34" s="19"/>
    </row>
    <row r="35" spans="2:15" x14ac:dyDescent="0.3">
      <c r="B35" s="31" t="s">
        <v>54</v>
      </c>
      <c r="C35" s="32" t="s">
        <v>30</v>
      </c>
      <c r="D35" s="33" t="s">
        <v>55</v>
      </c>
      <c r="E35" s="33" t="s">
        <v>57</v>
      </c>
      <c r="F35" s="32" t="s">
        <v>58</v>
      </c>
      <c r="K35" s="30"/>
    </row>
    <row r="36" spans="2:15" ht="28.8" x14ac:dyDescent="0.3">
      <c r="B36" s="34" t="s">
        <v>385</v>
      </c>
      <c r="C36" s="35">
        <v>31</v>
      </c>
      <c r="D36" s="36">
        <f>C36/$C$49</f>
        <v>0.20666666666666667</v>
      </c>
      <c r="E36" s="37" t="s">
        <v>83</v>
      </c>
      <c r="F36" s="35" t="s">
        <v>432</v>
      </c>
      <c r="K36" s="31" t="s">
        <v>54</v>
      </c>
      <c r="L36" s="32" t="s">
        <v>30</v>
      </c>
      <c r="M36" s="33" t="s">
        <v>55</v>
      </c>
      <c r="N36" s="33" t="s">
        <v>57</v>
      </c>
      <c r="O36" s="32" t="s">
        <v>58</v>
      </c>
    </row>
    <row r="37" spans="2:15" ht="43.2" x14ac:dyDescent="0.3">
      <c r="B37" s="24" t="s">
        <v>66</v>
      </c>
      <c r="C37" s="22">
        <v>23</v>
      </c>
      <c r="D37" s="25">
        <f t="shared" ref="D37:D48" si="3">C37/$C$49</f>
        <v>0.15333333333333332</v>
      </c>
      <c r="E37" s="38" t="s">
        <v>75</v>
      </c>
      <c r="F37" s="22" t="s">
        <v>99</v>
      </c>
      <c r="K37" s="34" t="s">
        <v>385</v>
      </c>
      <c r="L37" s="35">
        <v>12</v>
      </c>
      <c r="M37" s="36">
        <f>L37/$L$46</f>
        <v>0.2</v>
      </c>
      <c r="N37" s="37" t="s">
        <v>83</v>
      </c>
      <c r="O37" s="35" t="s">
        <v>432</v>
      </c>
    </row>
    <row r="38" spans="2:15" ht="28.8" x14ac:dyDescent="0.3">
      <c r="B38" s="34" t="s">
        <v>386</v>
      </c>
      <c r="C38" s="35">
        <v>20</v>
      </c>
      <c r="D38" s="36">
        <f t="shared" si="3"/>
        <v>0.13333333333333333</v>
      </c>
      <c r="E38" s="37" t="s">
        <v>76</v>
      </c>
      <c r="F38" s="35" t="s">
        <v>431</v>
      </c>
      <c r="K38" s="24" t="s">
        <v>66</v>
      </c>
      <c r="L38" s="22">
        <v>10</v>
      </c>
      <c r="M38" s="25">
        <f t="shared" ref="M38:M46" si="4">L38/$L$46</f>
        <v>0.16666666666666666</v>
      </c>
      <c r="N38" s="38" t="s">
        <v>75</v>
      </c>
      <c r="O38" s="22" t="s">
        <v>99</v>
      </c>
    </row>
    <row r="39" spans="2:15" ht="28.8" x14ac:dyDescent="0.3">
      <c r="B39" s="24" t="s">
        <v>387</v>
      </c>
      <c r="C39" s="22">
        <v>18</v>
      </c>
      <c r="D39" s="25">
        <f t="shared" si="3"/>
        <v>0.12</v>
      </c>
      <c r="E39" s="38" t="s">
        <v>84</v>
      </c>
      <c r="F39" s="22" t="s">
        <v>33</v>
      </c>
      <c r="K39" s="34" t="s">
        <v>386</v>
      </c>
      <c r="L39" s="35">
        <v>8</v>
      </c>
      <c r="M39" s="36">
        <f t="shared" si="4"/>
        <v>0.13333333333333333</v>
      </c>
      <c r="N39" s="37" t="s">
        <v>76</v>
      </c>
      <c r="O39" s="35" t="s">
        <v>431</v>
      </c>
    </row>
    <row r="40" spans="2:15" ht="28.8" x14ac:dyDescent="0.3">
      <c r="B40" s="34" t="s">
        <v>388</v>
      </c>
      <c r="C40" s="35">
        <v>14</v>
      </c>
      <c r="D40" s="36">
        <f t="shared" si="3"/>
        <v>9.3333333333333338E-2</v>
      </c>
      <c r="E40" s="37" t="s">
        <v>86</v>
      </c>
      <c r="F40" s="35" t="s">
        <v>431</v>
      </c>
      <c r="K40" s="24" t="s">
        <v>387</v>
      </c>
      <c r="L40" s="22">
        <v>8</v>
      </c>
      <c r="M40" s="25">
        <f t="shared" si="4"/>
        <v>0.13333333333333333</v>
      </c>
      <c r="N40" s="38" t="s">
        <v>84</v>
      </c>
      <c r="O40" s="22" t="s">
        <v>33</v>
      </c>
    </row>
    <row r="41" spans="2:15" ht="43.2" x14ac:dyDescent="0.3">
      <c r="B41" s="24" t="s">
        <v>67</v>
      </c>
      <c r="C41" s="22">
        <v>13</v>
      </c>
      <c r="D41" s="25">
        <f t="shared" si="3"/>
        <v>8.666666666666667E-2</v>
      </c>
      <c r="E41" s="38" t="s">
        <v>85</v>
      </c>
      <c r="F41" s="22" t="s">
        <v>99</v>
      </c>
      <c r="K41" s="34" t="s">
        <v>388</v>
      </c>
      <c r="L41" s="35">
        <v>5</v>
      </c>
      <c r="M41" s="36">
        <f t="shared" si="4"/>
        <v>8.3333333333333329E-2</v>
      </c>
      <c r="N41" s="37" t="s">
        <v>86</v>
      </c>
      <c r="O41" s="35" t="s">
        <v>431</v>
      </c>
    </row>
    <row r="42" spans="2:15" ht="28.8" x14ac:dyDescent="0.3">
      <c r="B42" s="34" t="s">
        <v>68</v>
      </c>
      <c r="C42" s="35">
        <v>12</v>
      </c>
      <c r="D42" s="36">
        <f t="shared" si="3"/>
        <v>0.08</v>
      </c>
      <c r="E42" s="34" t="s">
        <v>80</v>
      </c>
      <c r="F42" s="35" t="s">
        <v>432</v>
      </c>
      <c r="K42" s="24" t="s">
        <v>67</v>
      </c>
      <c r="L42" s="22">
        <v>5</v>
      </c>
      <c r="M42" s="25">
        <f t="shared" si="4"/>
        <v>8.3333333333333329E-2</v>
      </c>
      <c r="N42" s="38" t="s">
        <v>85</v>
      </c>
      <c r="O42" s="22" t="s">
        <v>99</v>
      </c>
    </row>
    <row r="43" spans="2:15" ht="28.8" x14ac:dyDescent="0.3">
      <c r="B43" s="24" t="s">
        <v>69</v>
      </c>
      <c r="C43" s="22">
        <v>9</v>
      </c>
      <c r="D43" s="25">
        <f t="shared" si="3"/>
        <v>0.06</v>
      </c>
      <c r="E43" s="38" t="s">
        <v>77</v>
      </c>
      <c r="F43" s="22" t="s">
        <v>33</v>
      </c>
      <c r="K43" s="34" t="s">
        <v>68</v>
      </c>
      <c r="L43" s="35">
        <v>6</v>
      </c>
      <c r="M43" s="36">
        <f t="shared" si="4"/>
        <v>0.1</v>
      </c>
      <c r="N43" s="34" t="s">
        <v>80</v>
      </c>
      <c r="O43" s="35" t="s">
        <v>432</v>
      </c>
    </row>
    <row r="44" spans="2:15" ht="28.8" x14ac:dyDescent="0.3">
      <c r="B44" s="34" t="s">
        <v>70</v>
      </c>
      <c r="C44" s="35">
        <v>3</v>
      </c>
      <c r="D44" s="36">
        <f t="shared" si="3"/>
        <v>0.02</v>
      </c>
      <c r="E44" s="37" t="s">
        <v>82</v>
      </c>
      <c r="F44" s="35" t="s">
        <v>433</v>
      </c>
      <c r="K44" s="24" t="s">
        <v>69</v>
      </c>
      <c r="L44" s="22">
        <v>4</v>
      </c>
      <c r="M44" s="25">
        <f t="shared" si="4"/>
        <v>6.6666666666666666E-2</v>
      </c>
      <c r="N44" s="38" t="s">
        <v>77</v>
      </c>
      <c r="O44" s="22" t="s">
        <v>33</v>
      </c>
    </row>
    <row r="45" spans="2:15" ht="28.8" x14ac:dyDescent="0.3">
      <c r="B45" s="24" t="s">
        <v>71</v>
      </c>
      <c r="C45" s="22">
        <v>2</v>
      </c>
      <c r="D45" s="25">
        <f t="shared" si="3"/>
        <v>1.3333333333333334E-2</v>
      </c>
      <c r="E45" s="38" t="s">
        <v>97</v>
      </c>
      <c r="F45" s="22" t="s">
        <v>61</v>
      </c>
      <c r="K45" s="34" t="s">
        <v>70</v>
      </c>
      <c r="L45" s="35">
        <v>2</v>
      </c>
      <c r="M45" s="36">
        <f t="shared" si="4"/>
        <v>3.3333333333333333E-2</v>
      </c>
      <c r="N45" s="37" t="s">
        <v>82</v>
      </c>
      <c r="O45" s="35" t="s">
        <v>433</v>
      </c>
    </row>
    <row r="46" spans="2:15" ht="28.8" x14ac:dyDescent="0.3">
      <c r="B46" s="34" t="s">
        <v>78</v>
      </c>
      <c r="C46" s="35">
        <v>2</v>
      </c>
      <c r="D46" s="36">
        <f t="shared" si="3"/>
        <v>1.3333333333333334E-2</v>
      </c>
      <c r="E46" s="37" t="s">
        <v>79</v>
      </c>
      <c r="F46" s="35" t="s">
        <v>61</v>
      </c>
      <c r="K46" s="39" t="s">
        <v>22</v>
      </c>
      <c r="L46" s="40">
        <f>SUM(L37:L45)</f>
        <v>60</v>
      </c>
      <c r="M46" s="42">
        <f t="shared" si="4"/>
        <v>1</v>
      </c>
      <c r="N46" s="41"/>
      <c r="O46" s="41"/>
    </row>
    <row r="47" spans="2:15" x14ac:dyDescent="0.3">
      <c r="B47" s="24" t="s">
        <v>72</v>
      </c>
      <c r="C47" s="22">
        <v>1</v>
      </c>
      <c r="D47" s="25">
        <f t="shared" si="3"/>
        <v>6.6666666666666671E-3</v>
      </c>
      <c r="E47" s="38" t="s">
        <v>81</v>
      </c>
      <c r="F47" s="22" t="s">
        <v>211</v>
      </c>
    </row>
    <row r="48" spans="2:15" x14ac:dyDescent="0.3">
      <c r="B48" s="34" t="s">
        <v>44</v>
      </c>
      <c r="C48" s="35">
        <v>2</v>
      </c>
      <c r="D48" s="36">
        <f t="shared" si="3"/>
        <v>1.3333333333333334E-2</v>
      </c>
      <c r="E48" s="37"/>
      <c r="F48" s="35"/>
    </row>
    <row r="49" spans="2:15" x14ac:dyDescent="0.3">
      <c r="B49" s="39" t="s">
        <v>22</v>
      </c>
      <c r="C49" s="40">
        <f>SUM(C36:C48)</f>
        <v>150</v>
      </c>
      <c r="D49" s="41">
        <f>SUM(D36:D48)</f>
        <v>1</v>
      </c>
      <c r="E49" s="41"/>
      <c r="F49" s="41"/>
      <c r="K49" s="221"/>
      <c r="L49" s="221"/>
      <c r="M49" s="221"/>
      <c r="N49" s="221"/>
      <c r="O49" s="221"/>
    </row>
    <row r="52" spans="2:15" ht="31.8" thickBot="1" x14ac:dyDescent="0.35">
      <c r="B52" s="61" t="s">
        <v>14</v>
      </c>
      <c r="C52" s="60" t="s">
        <v>65</v>
      </c>
    </row>
    <row r="53" spans="2:15" ht="18.600000000000001" thickBot="1" x14ac:dyDescent="0.35">
      <c r="B53" s="18" t="s">
        <v>101</v>
      </c>
      <c r="C53" s="19" t="s">
        <v>74</v>
      </c>
      <c r="D53" s="19"/>
      <c r="E53" s="19" t="s">
        <v>105</v>
      </c>
      <c r="F53" s="19"/>
      <c r="K53" s="222" t="s">
        <v>493</v>
      </c>
    </row>
    <row r="54" spans="2:15" x14ac:dyDescent="0.3">
      <c r="B54" s="30"/>
      <c r="K54" s="18"/>
      <c r="L54" s="19"/>
      <c r="M54" s="19"/>
      <c r="N54" s="19"/>
      <c r="O54" s="19"/>
    </row>
    <row r="55" spans="2:15" x14ac:dyDescent="0.3">
      <c r="B55" s="31" t="s">
        <v>54</v>
      </c>
      <c r="C55" s="32" t="s">
        <v>30</v>
      </c>
      <c r="D55" s="33" t="s">
        <v>55</v>
      </c>
      <c r="E55" s="33" t="s">
        <v>57</v>
      </c>
      <c r="F55" s="32" t="s">
        <v>58</v>
      </c>
    </row>
    <row r="56" spans="2:15" x14ac:dyDescent="0.3">
      <c r="B56" s="34" t="s">
        <v>90</v>
      </c>
      <c r="C56" s="35">
        <v>20</v>
      </c>
      <c r="D56" s="36">
        <f>C56/$C$63</f>
        <v>0.35714285714285715</v>
      </c>
      <c r="E56" s="37" t="s">
        <v>95</v>
      </c>
      <c r="F56" s="35" t="s">
        <v>33</v>
      </c>
    </row>
    <row r="57" spans="2:15" x14ac:dyDescent="0.3">
      <c r="B57" s="24" t="s">
        <v>389</v>
      </c>
      <c r="C57" s="22">
        <v>19</v>
      </c>
      <c r="D57" s="25">
        <f t="shared" ref="D57:D62" si="5">C57/$C$63</f>
        <v>0.3392857142857143</v>
      </c>
      <c r="E57" s="38" t="s">
        <v>96</v>
      </c>
      <c r="F57" s="22" t="s">
        <v>59</v>
      </c>
    </row>
    <row r="58" spans="2:15" x14ac:dyDescent="0.3">
      <c r="B58" s="34" t="s">
        <v>390</v>
      </c>
      <c r="C58" s="35">
        <v>8</v>
      </c>
      <c r="D58" s="36">
        <f t="shared" si="5"/>
        <v>0.14285714285714285</v>
      </c>
      <c r="E58" s="37" t="s">
        <v>98</v>
      </c>
      <c r="F58" s="35" t="s">
        <v>99</v>
      </c>
    </row>
    <row r="59" spans="2:15" ht="28.8" x14ac:dyDescent="0.3">
      <c r="B59" s="24" t="s">
        <v>91</v>
      </c>
      <c r="C59" s="22">
        <v>5</v>
      </c>
      <c r="D59" s="25">
        <f t="shared" si="5"/>
        <v>8.9285714285714288E-2</v>
      </c>
      <c r="E59" s="38" t="s">
        <v>100</v>
      </c>
      <c r="F59" s="22" t="s">
        <v>99</v>
      </c>
    </row>
    <row r="60" spans="2:15" x14ac:dyDescent="0.3">
      <c r="B60" s="34" t="s">
        <v>92</v>
      </c>
      <c r="C60" s="35">
        <v>1</v>
      </c>
      <c r="D60" s="36">
        <f t="shared" si="5"/>
        <v>1.7857142857142856E-2</v>
      </c>
      <c r="E60" s="37" t="s">
        <v>102</v>
      </c>
      <c r="F60" s="35" t="s">
        <v>61</v>
      </c>
    </row>
    <row r="61" spans="2:15" x14ac:dyDescent="0.3">
      <c r="B61" s="24" t="s">
        <v>93</v>
      </c>
      <c r="C61" s="22">
        <v>1</v>
      </c>
      <c r="D61" s="25">
        <f t="shared" si="5"/>
        <v>1.7857142857142856E-2</v>
      </c>
      <c r="E61" s="38" t="s">
        <v>94</v>
      </c>
      <c r="F61" s="22" t="s">
        <v>432</v>
      </c>
    </row>
    <row r="62" spans="2:15" x14ac:dyDescent="0.3">
      <c r="B62" s="34" t="s">
        <v>44</v>
      </c>
      <c r="C62" s="35">
        <v>2</v>
      </c>
      <c r="D62" s="36">
        <f t="shared" si="5"/>
        <v>3.5714285714285712E-2</v>
      </c>
      <c r="E62" s="34"/>
      <c r="F62" s="35" t="s">
        <v>61</v>
      </c>
    </row>
    <row r="63" spans="2:15" x14ac:dyDescent="0.3">
      <c r="B63" s="39" t="s">
        <v>22</v>
      </c>
      <c r="C63" s="40">
        <f>SUM(C56:C62)</f>
        <v>56</v>
      </c>
      <c r="D63" s="41">
        <f>SUM(D56:D62)</f>
        <v>1</v>
      </c>
      <c r="E63" s="41"/>
      <c r="F63" s="41"/>
    </row>
    <row r="66" spans="2:15" ht="31.8" thickBot="1" x14ac:dyDescent="0.35">
      <c r="B66" s="61" t="s">
        <v>6</v>
      </c>
      <c r="C66" s="60" t="s">
        <v>106</v>
      </c>
    </row>
    <row r="67" spans="2:15" ht="18.600000000000001" thickBot="1" x14ac:dyDescent="0.35">
      <c r="B67" s="18" t="s">
        <v>119</v>
      </c>
      <c r="C67" s="19" t="s">
        <v>41</v>
      </c>
      <c r="D67" s="19"/>
      <c r="E67" s="19" t="s">
        <v>112</v>
      </c>
      <c r="F67" s="19"/>
      <c r="K67" s="61" t="s">
        <v>6</v>
      </c>
      <c r="L67" s="60" t="s">
        <v>496</v>
      </c>
    </row>
    <row r="68" spans="2:15" x14ac:dyDescent="0.3">
      <c r="B68" s="30"/>
      <c r="K68" s="18" t="s">
        <v>497</v>
      </c>
      <c r="L68" s="19" t="s">
        <v>41</v>
      </c>
      <c r="M68" s="19"/>
      <c r="N68" s="19" t="s">
        <v>494</v>
      </c>
      <c r="O68" s="19"/>
    </row>
    <row r="69" spans="2:15" x14ac:dyDescent="0.3">
      <c r="B69" s="31" t="s">
        <v>54</v>
      </c>
      <c r="C69" s="32" t="s">
        <v>30</v>
      </c>
      <c r="D69" s="33" t="s">
        <v>55</v>
      </c>
      <c r="E69" s="33" t="s">
        <v>57</v>
      </c>
      <c r="F69" s="32" t="s">
        <v>58</v>
      </c>
      <c r="K69" s="30"/>
    </row>
    <row r="70" spans="2:15" ht="28.8" x14ac:dyDescent="0.3">
      <c r="B70" s="34" t="s">
        <v>107</v>
      </c>
      <c r="C70" s="35">
        <v>84</v>
      </c>
      <c r="D70" s="36">
        <f>C70/$C$77</f>
        <v>0.24</v>
      </c>
      <c r="E70" s="37" t="s">
        <v>115</v>
      </c>
      <c r="F70" s="35" t="s">
        <v>99</v>
      </c>
      <c r="K70" s="31" t="s">
        <v>54</v>
      </c>
      <c r="L70" s="32" t="s">
        <v>30</v>
      </c>
      <c r="M70" s="33" t="s">
        <v>55</v>
      </c>
      <c r="N70" s="33" t="s">
        <v>57</v>
      </c>
      <c r="O70" s="32" t="s">
        <v>58</v>
      </c>
    </row>
    <row r="71" spans="2:15" ht="43.2" x14ac:dyDescent="0.3">
      <c r="B71" s="24" t="s">
        <v>391</v>
      </c>
      <c r="C71" s="22">
        <v>134</v>
      </c>
      <c r="D71" s="25">
        <f t="shared" ref="D71:D76" si="6">C71/$C$77</f>
        <v>0.38285714285714284</v>
      </c>
      <c r="E71" s="38" t="s">
        <v>114</v>
      </c>
      <c r="F71" s="22" t="s">
        <v>33</v>
      </c>
      <c r="K71" s="34" t="s">
        <v>107</v>
      </c>
      <c r="L71" s="35">
        <v>62</v>
      </c>
      <c r="M71" s="36">
        <f>L71/$L$78</f>
        <v>0.23308270676691728</v>
      </c>
      <c r="N71" s="37" t="s">
        <v>115</v>
      </c>
      <c r="O71" s="35" t="s">
        <v>99</v>
      </c>
    </row>
    <row r="72" spans="2:15" ht="28.8" x14ac:dyDescent="0.3">
      <c r="B72" s="34" t="s">
        <v>108</v>
      </c>
      <c r="C72" s="35">
        <v>67</v>
      </c>
      <c r="D72" s="36">
        <f t="shared" si="6"/>
        <v>0.19142857142857142</v>
      </c>
      <c r="E72" s="37" t="s">
        <v>113</v>
      </c>
      <c r="F72" s="35" t="s">
        <v>59</v>
      </c>
      <c r="K72" s="24" t="s">
        <v>391</v>
      </c>
      <c r="L72" s="22">
        <f>147+2</f>
        <v>149</v>
      </c>
      <c r="M72" s="25">
        <f t="shared" ref="M72:M78" si="7">L72/$L$78</f>
        <v>0.56015037593984962</v>
      </c>
      <c r="N72" s="38" t="s">
        <v>114</v>
      </c>
      <c r="O72" s="22" t="s">
        <v>33</v>
      </c>
    </row>
    <row r="73" spans="2:15" ht="28.8" x14ac:dyDescent="0.3">
      <c r="B73" s="24" t="s">
        <v>392</v>
      </c>
      <c r="C73" s="22">
        <v>32</v>
      </c>
      <c r="D73" s="25">
        <f t="shared" si="6"/>
        <v>9.1428571428571428E-2</v>
      </c>
      <c r="E73" s="38" t="s">
        <v>116</v>
      </c>
      <c r="F73" s="22" t="s">
        <v>431</v>
      </c>
      <c r="K73" s="34" t="s">
        <v>108</v>
      </c>
      <c r="L73" s="35">
        <v>21</v>
      </c>
      <c r="M73" s="36">
        <f t="shared" si="7"/>
        <v>7.8947368421052627E-2</v>
      </c>
      <c r="N73" s="37" t="s">
        <v>113</v>
      </c>
      <c r="O73" s="35" t="s">
        <v>59</v>
      </c>
    </row>
    <row r="74" spans="2:15" ht="28.8" x14ac:dyDescent="0.3">
      <c r="B74" s="34" t="s">
        <v>110</v>
      </c>
      <c r="C74" s="35">
        <v>9</v>
      </c>
      <c r="D74" s="36">
        <f t="shared" si="6"/>
        <v>2.5714285714285714E-2</v>
      </c>
      <c r="E74" s="37" t="s">
        <v>117</v>
      </c>
      <c r="F74" s="35" t="s">
        <v>432</v>
      </c>
      <c r="K74" s="24" t="s">
        <v>392</v>
      </c>
      <c r="L74" s="22">
        <v>3</v>
      </c>
      <c r="M74" s="25">
        <f t="shared" si="7"/>
        <v>1.1278195488721804E-2</v>
      </c>
      <c r="N74" s="38" t="s">
        <v>116</v>
      </c>
      <c r="O74" s="22" t="s">
        <v>431</v>
      </c>
    </row>
    <row r="75" spans="2:15" ht="28.8" x14ac:dyDescent="0.3">
      <c r="B75" s="24" t="s">
        <v>111</v>
      </c>
      <c r="C75" s="22">
        <v>5</v>
      </c>
      <c r="D75" s="25">
        <f t="shared" si="6"/>
        <v>1.4285714285714285E-2</v>
      </c>
      <c r="E75" s="38" t="s">
        <v>118</v>
      </c>
      <c r="F75" s="22" t="s">
        <v>431</v>
      </c>
      <c r="K75" s="34" t="s">
        <v>110</v>
      </c>
      <c r="L75" s="35">
        <v>12</v>
      </c>
      <c r="M75" s="36">
        <f t="shared" si="7"/>
        <v>4.5112781954887216E-2</v>
      </c>
      <c r="N75" s="37" t="s">
        <v>117</v>
      </c>
      <c r="O75" s="35" t="s">
        <v>432</v>
      </c>
    </row>
    <row r="76" spans="2:15" ht="28.8" x14ac:dyDescent="0.3">
      <c r="B76" s="34" t="s">
        <v>109</v>
      </c>
      <c r="C76" s="35">
        <v>19</v>
      </c>
      <c r="D76" s="36">
        <f t="shared" si="6"/>
        <v>5.4285714285714284E-2</v>
      </c>
      <c r="E76" s="34"/>
      <c r="F76" s="35" t="s">
        <v>61</v>
      </c>
      <c r="K76" s="24" t="s">
        <v>495</v>
      </c>
      <c r="L76" s="22">
        <v>6</v>
      </c>
      <c r="M76" s="25">
        <f t="shared" si="7"/>
        <v>2.2556390977443608E-2</v>
      </c>
      <c r="N76" s="38" t="s">
        <v>118</v>
      </c>
      <c r="O76" s="22" t="s">
        <v>431</v>
      </c>
    </row>
    <row r="77" spans="2:15" x14ac:dyDescent="0.3">
      <c r="B77" s="39" t="s">
        <v>22</v>
      </c>
      <c r="C77" s="40">
        <f>SUM(C70:C76)</f>
        <v>350</v>
      </c>
      <c r="D77" s="41">
        <f>SUM(D70:D76)</f>
        <v>0.99999999999999978</v>
      </c>
      <c r="E77" s="41"/>
      <c r="F77" s="41"/>
      <c r="K77" s="34" t="s">
        <v>109</v>
      </c>
      <c r="L77" s="35">
        <v>13</v>
      </c>
      <c r="M77" s="36">
        <f t="shared" si="7"/>
        <v>4.8872180451127817E-2</v>
      </c>
      <c r="N77" s="34"/>
      <c r="O77" s="35" t="s">
        <v>61</v>
      </c>
    </row>
    <row r="78" spans="2:15" x14ac:dyDescent="0.3">
      <c r="K78" s="39" t="s">
        <v>22</v>
      </c>
      <c r="L78" s="40">
        <f>SUM(L71:L77)</f>
        <v>266</v>
      </c>
      <c r="M78" s="42">
        <f t="shared" si="7"/>
        <v>1</v>
      </c>
      <c r="N78" s="41"/>
      <c r="O78" s="41"/>
    </row>
    <row r="80" spans="2:15" ht="18.600000000000001" thickBot="1" x14ac:dyDescent="0.35">
      <c r="B80" s="61" t="s">
        <v>17</v>
      </c>
      <c r="C80" s="60" t="s">
        <v>340</v>
      </c>
    </row>
    <row r="81" spans="2:15" ht="18.600000000000001" thickBot="1" x14ac:dyDescent="0.35">
      <c r="B81" s="18" t="s">
        <v>341</v>
      </c>
      <c r="C81" s="19" t="s">
        <v>63</v>
      </c>
      <c r="D81" s="19"/>
      <c r="E81" s="19" t="s">
        <v>350</v>
      </c>
      <c r="F81" s="19"/>
      <c r="K81" s="222" t="s">
        <v>498</v>
      </c>
    </row>
    <row r="82" spans="2:15" x14ac:dyDescent="0.3">
      <c r="B82" s="30"/>
      <c r="K82" s="18"/>
      <c r="L82" s="19"/>
      <c r="M82" s="19"/>
      <c r="N82" s="19"/>
      <c r="O82" s="19"/>
    </row>
    <row r="83" spans="2:15" x14ac:dyDescent="0.3">
      <c r="B83" s="31" t="s">
        <v>54</v>
      </c>
      <c r="C83" s="32" t="s">
        <v>30</v>
      </c>
      <c r="D83" s="33" t="s">
        <v>55</v>
      </c>
      <c r="E83" s="33" t="s">
        <v>57</v>
      </c>
      <c r="F83" s="32" t="s">
        <v>58</v>
      </c>
    </row>
    <row r="84" spans="2:15" x14ac:dyDescent="0.3">
      <c r="B84" s="34" t="s">
        <v>342</v>
      </c>
      <c r="C84" s="35">
        <v>30</v>
      </c>
      <c r="D84" s="36">
        <f>C84/$C$90</f>
        <v>0.29702970297029702</v>
      </c>
      <c r="E84" s="37" t="s">
        <v>345</v>
      </c>
      <c r="F84" s="35" t="s">
        <v>431</v>
      </c>
    </row>
    <row r="85" spans="2:15" x14ac:dyDescent="0.3">
      <c r="B85" s="24" t="s">
        <v>393</v>
      </c>
      <c r="C85" s="22">
        <v>27</v>
      </c>
      <c r="D85" s="25">
        <f t="shared" ref="D85:D90" si="8">C85/$C$90</f>
        <v>0.26732673267326734</v>
      </c>
      <c r="E85" s="38" t="s">
        <v>123</v>
      </c>
      <c r="F85" s="22" t="s">
        <v>431</v>
      </c>
    </row>
    <row r="86" spans="2:15" x14ac:dyDescent="0.3">
      <c r="B86" s="34" t="s">
        <v>394</v>
      </c>
      <c r="C86" s="35">
        <v>15</v>
      </c>
      <c r="D86" s="36">
        <f t="shared" si="8"/>
        <v>0.14851485148514851</v>
      </c>
      <c r="E86" s="37" t="s">
        <v>346</v>
      </c>
      <c r="F86" s="35" t="s">
        <v>99</v>
      </c>
    </row>
    <row r="87" spans="2:15" x14ac:dyDescent="0.3">
      <c r="B87" s="24" t="s">
        <v>395</v>
      </c>
      <c r="C87" s="22">
        <v>14</v>
      </c>
      <c r="D87" s="25">
        <f t="shared" si="8"/>
        <v>0.13861386138613863</v>
      </c>
      <c r="E87" s="38" t="s">
        <v>347</v>
      </c>
      <c r="F87" s="22" t="s">
        <v>33</v>
      </c>
    </row>
    <row r="88" spans="2:15" x14ac:dyDescent="0.3">
      <c r="B88" s="34" t="s">
        <v>343</v>
      </c>
      <c r="C88" s="35">
        <v>8</v>
      </c>
      <c r="D88" s="36">
        <f t="shared" si="8"/>
        <v>7.9207920792079209E-2</v>
      </c>
      <c r="E88" s="37" t="s">
        <v>348</v>
      </c>
      <c r="F88" s="35" t="s">
        <v>61</v>
      </c>
    </row>
    <row r="89" spans="2:15" x14ac:dyDescent="0.3">
      <c r="B89" s="24" t="s">
        <v>344</v>
      </c>
      <c r="C89" s="22">
        <v>7</v>
      </c>
      <c r="D89" s="25">
        <f t="shared" si="8"/>
        <v>6.9306930693069313E-2</v>
      </c>
      <c r="E89" s="38" t="s">
        <v>349</v>
      </c>
      <c r="F89" s="22" t="s">
        <v>61</v>
      </c>
    </row>
    <row r="90" spans="2:15" x14ac:dyDescent="0.3">
      <c r="B90" s="39" t="s">
        <v>22</v>
      </c>
      <c r="C90" s="40">
        <f>SUM(C84:C89)</f>
        <v>101</v>
      </c>
      <c r="D90" s="42">
        <f t="shared" si="8"/>
        <v>1</v>
      </c>
      <c r="E90" s="41"/>
      <c r="F90" s="41"/>
    </row>
    <row r="93" spans="2:15" ht="18.600000000000001" thickBot="1" x14ac:dyDescent="0.35">
      <c r="B93" s="61" t="s">
        <v>7</v>
      </c>
      <c r="C93" s="60" t="s">
        <v>122</v>
      </c>
    </row>
    <row r="94" spans="2:15" ht="18.600000000000001" thickBot="1" x14ac:dyDescent="0.35">
      <c r="B94" s="18" t="s">
        <v>64</v>
      </c>
      <c r="C94" s="19" t="s">
        <v>63</v>
      </c>
      <c r="D94" s="19"/>
      <c r="E94" s="19" t="s">
        <v>139</v>
      </c>
      <c r="F94" s="19"/>
      <c r="K94" s="222" t="s">
        <v>499</v>
      </c>
    </row>
    <row r="95" spans="2:15" x14ac:dyDescent="0.3">
      <c r="B95" s="30"/>
      <c r="K95" s="18"/>
      <c r="L95" s="19"/>
      <c r="M95" s="19"/>
      <c r="N95" s="19"/>
      <c r="O95" s="19"/>
    </row>
    <row r="96" spans="2:15" x14ac:dyDescent="0.3">
      <c r="B96" s="31" t="s">
        <v>54</v>
      </c>
      <c r="C96" s="32" t="s">
        <v>30</v>
      </c>
      <c r="D96" s="33" t="s">
        <v>55</v>
      </c>
      <c r="E96" s="33" t="s">
        <v>57</v>
      </c>
      <c r="F96" s="32" t="s">
        <v>58</v>
      </c>
    </row>
    <row r="97" spans="2:15" x14ac:dyDescent="0.3">
      <c r="B97" s="34" t="s">
        <v>396</v>
      </c>
      <c r="C97" s="35">
        <v>49</v>
      </c>
      <c r="D97" s="36">
        <f>C97/$C$105</f>
        <v>0.245</v>
      </c>
      <c r="E97" s="37" t="s">
        <v>124</v>
      </c>
      <c r="F97" s="35" t="s">
        <v>431</v>
      </c>
    </row>
    <row r="98" spans="2:15" x14ac:dyDescent="0.3">
      <c r="B98" s="24" t="s">
        <v>397</v>
      </c>
      <c r="C98" s="22">
        <v>38</v>
      </c>
      <c r="D98" s="25">
        <f t="shared" ref="D98:D104" si="9">C98/$C$105</f>
        <v>0.19</v>
      </c>
      <c r="E98" s="38" t="s">
        <v>125</v>
      </c>
      <c r="F98" s="22" t="s">
        <v>167</v>
      </c>
    </row>
    <row r="99" spans="2:15" x14ac:dyDescent="0.3">
      <c r="B99" s="34" t="s">
        <v>398</v>
      </c>
      <c r="C99" s="35">
        <v>37</v>
      </c>
      <c r="D99" s="36">
        <f t="shared" si="9"/>
        <v>0.185</v>
      </c>
      <c r="E99" s="37" t="s">
        <v>126</v>
      </c>
      <c r="F99" s="35" t="s">
        <v>33</v>
      </c>
    </row>
    <row r="100" spans="2:15" x14ac:dyDescent="0.3">
      <c r="B100" s="24" t="s">
        <v>134</v>
      </c>
      <c r="C100" s="22">
        <v>34</v>
      </c>
      <c r="D100" s="25">
        <f t="shared" si="9"/>
        <v>0.17</v>
      </c>
      <c r="E100" s="38" t="s">
        <v>127</v>
      </c>
      <c r="F100" s="22" t="s">
        <v>99</v>
      </c>
    </row>
    <row r="101" spans="2:15" x14ac:dyDescent="0.3">
      <c r="B101" s="34" t="s">
        <v>135</v>
      </c>
      <c r="C101" s="35">
        <v>15</v>
      </c>
      <c r="D101" s="36">
        <f t="shared" si="9"/>
        <v>7.4999999999999997E-2</v>
      </c>
      <c r="E101" s="37" t="s">
        <v>128</v>
      </c>
      <c r="F101" s="35" t="s">
        <v>432</v>
      </c>
    </row>
    <row r="102" spans="2:15" x14ac:dyDescent="0.3">
      <c r="B102" s="24" t="s">
        <v>136</v>
      </c>
      <c r="C102" s="22">
        <v>12</v>
      </c>
      <c r="D102" s="25">
        <f t="shared" si="9"/>
        <v>0.06</v>
      </c>
      <c r="E102" s="38" t="s">
        <v>129</v>
      </c>
      <c r="F102" s="22" t="s">
        <v>59</v>
      </c>
    </row>
    <row r="103" spans="2:15" x14ac:dyDescent="0.3">
      <c r="B103" s="34" t="s">
        <v>130</v>
      </c>
      <c r="C103" s="35">
        <v>10</v>
      </c>
      <c r="D103" s="36">
        <f t="shared" si="9"/>
        <v>0.05</v>
      </c>
      <c r="E103" s="34" t="s">
        <v>131</v>
      </c>
      <c r="F103" s="35" t="s">
        <v>431</v>
      </c>
    </row>
    <row r="104" spans="2:15" x14ac:dyDescent="0.3">
      <c r="B104" s="24" t="s">
        <v>132</v>
      </c>
      <c r="C104" s="22">
        <v>5</v>
      </c>
      <c r="D104" s="25">
        <f t="shared" si="9"/>
        <v>2.5000000000000001E-2</v>
      </c>
      <c r="E104" s="38" t="s">
        <v>133</v>
      </c>
      <c r="F104" s="22" t="s">
        <v>33</v>
      </c>
    </row>
    <row r="105" spans="2:15" x14ac:dyDescent="0.3">
      <c r="B105" s="39" t="s">
        <v>22</v>
      </c>
      <c r="C105" s="40">
        <f>SUM(C97:C104)</f>
        <v>200</v>
      </c>
      <c r="D105" s="41">
        <f>SUM(D97:D104)</f>
        <v>1</v>
      </c>
      <c r="E105" s="41"/>
      <c r="F105" s="41"/>
    </row>
    <row r="108" spans="2:15" ht="31.8" thickBot="1" x14ac:dyDescent="0.35">
      <c r="B108" s="61" t="s">
        <v>8</v>
      </c>
      <c r="C108" s="60" t="s">
        <v>137</v>
      </c>
    </row>
    <row r="109" spans="2:15" ht="18.600000000000001" thickBot="1" x14ac:dyDescent="0.35">
      <c r="B109" s="18" t="s">
        <v>138</v>
      </c>
      <c r="C109" s="19" t="s">
        <v>74</v>
      </c>
      <c r="D109" s="19"/>
      <c r="E109" s="19" t="s">
        <v>151</v>
      </c>
      <c r="F109" s="19"/>
      <c r="K109" s="61" t="s">
        <v>8</v>
      </c>
      <c r="L109" s="60" t="s">
        <v>496</v>
      </c>
    </row>
    <row r="110" spans="2:15" x14ac:dyDescent="0.3">
      <c r="B110" s="30"/>
      <c r="K110" s="18" t="s">
        <v>492</v>
      </c>
      <c r="L110" s="19" t="s">
        <v>74</v>
      </c>
      <c r="M110" s="19"/>
      <c r="N110" s="19" t="s">
        <v>500</v>
      </c>
      <c r="O110" s="19"/>
    </row>
    <row r="111" spans="2:15" x14ac:dyDescent="0.3">
      <c r="B111" s="31" t="s">
        <v>54</v>
      </c>
      <c r="C111" s="32" t="s">
        <v>30</v>
      </c>
      <c r="D111" s="33" t="s">
        <v>55</v>
      </c>
      <c r="E111" s="33" t="s">
        <v>57</v>
      </c>
      <c r="F111" s="32" t="s">
        <v>58</v>
      </c>
      <c r="K111" s="30"/>
    </row>
    <row r="112" spans="2:15" x14ac:dyDescent="0.3">
      <c r="B112" s="34" t="s">
        <v>399</v>
      </c>
      <c r="C112" s="35">
        <v>288</v>
      </c>
      <c r="D112" s="36">
        <f>C112/$C$119</f>
        <v>0.49913344887348354</v>
      </c>
      <c r="E112" s="37" t="s">
        <v>147</v>
      </c>
      <c r="F112" s="35" t="s">
        <v>99</v>
      </c>
      <c r="K112" s="31" t="s">
        <v>54</v>
      </c>
      <c r="L112" s="32" t="s">
        <v>30</v>
      </c>
      <c r="M112" s="33" t="s">
        <v>55</v>
      </c>
      <c r="N112" s="33" t="s">
        <v>57</v>
      </c>
      <c r="O112" s="32" t="s">
        <v>58</v>
      </c>
    </row>
    <row r="113" spans="2:15" x14ac:dyDescent="0.3">
      <c r="B113" s="24" t="s">
        <v>144</v>
      </c>
      <c r="C113" s="22">
        <v>199</v>
      </c>
      <c r="D113" s="25">
        <f t="shared" ref="D113:D118" si="10">C113/$C$119</f>
        <v>0.34488734835355284</v>
      </c>
      <c r="E113" s="38" t="s">
        <v>145</v>
      </c>
      <c r="F113" s="22" t="s">
        <v>33</v>
      </c>
      <c r="K113" s="34" t="s">
        <v>501</v>
      </c>
      <c r="L113" s="35">
        <v>108</v>
      </c>
      <c r="M113" s="36">
        <f>L113/$L$120</f>
        <v>0.31034482758620691</v>
      </c>
      <c r="N113" s="37" t="s">
        <v>507</v>
      </c>
      <c r="O113" s="35"/>
    </row>
    <row r="114" spans="2:15" ht="28.8" x14ac:dyDescent="0.3">
      <c r="B114" s="34" t="s">
        <v>140</v>
      </c>
      <c r="C114" s="35">
        <v>27</v>
      </c>
      <c r="D114" s="36">
        <f t="shared" si="10"/>
        <v>4.6793760831889082E-2</v>
      </c>
      <c r="E114" s="37" t="s">
        <v>146</v>
      </c>
      <c r="F114" s="35" t="s">
        <v>431</v>
      </c>
      <c r="K114" s="24" t="s">
        <v>502</v>
      </c>
      <c r="L114" s="22">
        <v>144</v>
      </c>
      <c r="M114" s="25">
        <f t="shared" ref="M114:M120" si="11">L114/$L$120</f>
        <v>0.41379310344827586</v>
      </c>
      <c r="N114" s="38" t="s">
        <v>145</v>
      </c>
      <c r="O114" s="22"/>
    </row>
    <row r="115" spans="2:15" ht="43.2" x14ac:dyDescent="0.3">
      <c r="B115" s="24" t="s">
        <v>141</v>
      </c>
      <c r="C115" s="22">
        <v>18</v>
      </c>
      <c r="D115" s="25">
        <f t="shared" si="10"/>
        <v>3.1195840554592721E-2</v>
      </c>
      <c r="E115" s="38" t="s">
        <v>148</v>
      </c>
      <c r="F115" s="22" t="s">
        <v>99</v>
      </c>
      <c r="K115" s="34" t="s">
        <v>503</v>
      </c>
      <c r="L115" s="35">
        <v>42</v>
      </c>
      <c r="M115" s="36">
        <f t="shared" si="11"/>
        <v>0.1206896551724138</v>
      </c>
      <c r="N115" s="37" t="s">
        <v>146</v>
      </c>
      <c r="O115" s="35"/>
    </row>
    <row r="116" spans="2:15" ht="28.8" x14ac:dyDescent="0.3">
      <c r="B116" s="34" t="s">
        <v>142</v>
      </c>
      <c r="C116" s="35">
        <v>15</v>
      </c>
      <c r="D116" s="36">
        <f t="shared" si="10"/>
        <v>2.5996533795493933E-2</v>
      </c>
      <c r="E116" s="37" t="s">
        <v>149</v>
      </c>
      <c r="F116" s="35" t="s">
        <v>59</v>
      </c>
      <c r="K116" s="24" t="s">
        <v>504</v>
      </c>
      <c r="L116" s="22">
        <v>21</v>
      </c>
      <c r="M116" s="25">
        <f t="shared" si="11"/>
        <v>6.0344827586206899E-2</v>
      </c>
      <c r="N116" s="38" t="s">
        <v>508</v>
      </c>
      <c r="O116" s="22"/>
    </row>
    <row r="117" spans="2:15" ht="57.6" x14ac:dyDescent="0.3">
      <c r="B117" s="24" t="s">
        <v>143</v>
      </c>
      <c r="C117" s="22">
        <v>25</v>
      </c>
      <c r="D117" s="25">
        <f t="shared" si="10"/>
        <v>4.3327556325823226E-2</v>
      </c>
      <c r="E117" s="38" t="s">
        <v>150</v>
      </c>
      <c r="F117" s="22" t="s">
        <v>61</v>
      </c>
      <c r="K117" s="34" t="s">
        <v>571</v>
      </c>
      <c r="L117" s="35">
        <v>17</v>
      </c>
      <c r="M117" s="36">
        <f t="shared" si="11"/>
        <v>4.8850574712643681E-2</v>
      </c>
      <c r="N117" s="37" t="s">
        <v>572</v>
      </c>
      <c r="O117" s="35"/>
    </row>
    <row r="118" spans="2:15" x14ac:dyDescent="0.3">
      <c r="B118" s="34" t="s">
        <v>152</v>
      </c>
      <c r="C118" s="35">
        <v>5</v>
      </c>
      <c r="D118" s="36">
        <f t="shared" si="10"/>
        <v>8.6655112651646445E-3</v>
      </c>
      <c r="E118" s="34"/>
      <c r="F118" s="35" t="s">
        <v>61</v>
      </c>
      <c r="K118" s="24" t="s">
        <v>505</v>
      </c>
      <c r="L118" s="22">
        <v>10</v>
      </c>
      <c r="M118" s="25">
        <f t="shared" si="11"/>
        <v>2.8735632183908046E-2</v>
      </c>
      <c r="N118" s="38"/>
      <c r="O118" s="22"/>
    </row>
    <row r="119" spans="2:15" x14ac:dyDescent="0.3">
      <c r="B119" s="39" t="s">
        <v>22</v>
      </c>
      <c r="C119" s="40">
        <f>SUM(C112:C118)</f>
        <v>577</v>
      </c>
      <c r="D119" s="41">
        <f>SUM(D112:D118)</f>
        <v>1</v>
      </c>
      <c r="E119" s="41"/>
      <c r="F119" s="41"/>
      <c r="K119" s="34" t="s">
        <v>506</v>
      </c>
      <c r="L119" s="35">
        <v>6</v>
      </c>
      <c r="M119" s="36">
        <f t="shared" si="11"/>
        <v>1.7241379310344827E-2</v>
      </c>
      <c r="N119" s="34"/>
      <c r="O119" s="35"/>
    </row>
    <row r="120" spans="2:15" x14ac:dyDescent="0.3">
      <c r="K120" s="39" t="s">
        <v>22</v>
      </c>
      <c r="L120" s="40">
        <f>SUM(L113:L119)</f>
        <v>348</v>
      </c>
      <c r="M120" s="42">
        <f t="shared" si="11"/>
        <v>1</v>
      </c>
      <c r="N120" s="41"/>
      <c r="O120" s="41"/>
    </row>
    <row r="122" spans="2:15" ht="18.600000000000001" thickBot="1" x14ac:dyDescent="0.35">
      <c r="B122" s="61" t="s">
        <v>20</v>
      </c>
      <c r="C122" s="60" t="s">
        <v>171</v>
      </c>
      <c r="N122" s="38"/>
    </row>
    <row r="123" spans="2:15" ht="18.600000000000001" thickBot="1" x14ac:dyDescent="0.35">
      <c r="B123" s="18" t="s">
        <v>172</v>
      </c>
      <c r="C123" s="19" t="s">
        <v>173</v>
      </c>
      <c r="D123" s="19"/>
      <c r="E123" s="19" t="s">
        <v>156</v>
      </c>
      <c r="F123" s="19"/>
      <c r="K123" s="222" t="s">
        <v>509</v>
      </c>
    </row>
    <row r="124" spans="2:15" x14ac:dyDescent="0.3">
      <c r="B124" s="30"/>
      <c r="K124" s="18"/>
      <c r="L124" s="19"/>
      <c r="M124" s="19"/>
      <c r="N124" s="19"/>
      <c r="O124" s="19"/>
    </row>
    <row r="125" spans="2:15" x14ac:dyDescent="0.3">
      <c r="B125" s="31" t="s">
        <v>54</v>
      </c>
      <c r="C125" s="32" t="s">
        <v>30</v>
      </c>
      <c r="D125" s="33" t="s">
        <v>55</v>
      </c>
      <c r="E125" s="33" t="s">
        <v>57</v>
      </c>
      <c r="F125" s="32" t="s">
        <v>58</v>
      </c>
    </row>
    <row r="126" spans="2:15" x14ac:dyDescent="0.3">
      <c r="B126" s="34" t="s">
        <v>400</v>
      </c>
      <c r="C126" s="35">
        <v>144</v>
      </c>
      <c r="D126" s="36">
        <f>C126/$C$135</f>
        <v>0.48</v>
      </c>
      <c r="E126" s="34" t="s">
        <v>159</v>
      </c>
      <c r="F126" s="35" t="s">
        <v>59</v>
      </c>
    </row>
    <row r="127" spans="2:15" x14ac:dyDescent="0.3">
      <c r="B127" s="17" t="s">
        <v>157</v>
      </c>
      <c r="C127" s="22">
        <v>76</v>
      </c>
      <c r="D127" s="25">
        <f t="shared" ref="D127:D134" si="12">C127/$C$135</f>
        <v>0.25333333333333335</v>
      </c>
      <c r="E127" s="24" t="s">
        <v>158</v>
      </c>
      <c r="F127" s="22" t="s">
        <v>33</v>
      </c>
    </row>
    <row r="128" spans="2:15" x14ac:dyDescent="0.3">
      <c r="B128" s="34" t="s">
        <v>160</v>
      </c>
      <c r="C128" s="35">
        <v>18</v>
      </c>
      <c r="D128" s="36">
        <f t="shared" si="12"/>
        <v>0.06</v>
      </c>
      <c r="E128" s="34" t="s">
        <v>161</v>
      </c>
      <c r="F128" s="35" t="s">
        <v>99</v>
      </c>
    </row>
    <row r="129" spans="2:15" x14ac:dyDescent="0.3">
      <c r="B129" s="24" t="s">
        <v>153</v>
      </c>
      <c r="C129" s="22">
        <v>18</v>
      </c>
      <c r="D129" s="25">
        <f t="shared" si="12"/>
        <v>0.06</v>
      </c>
      <c r="E129" s="24" t="s">
        <v>162</v>
      </c>
      <c r="F129" s="22" t="s">
        <v>434</v>
      </c>
    </row>
    <row r="130" spans="2:15" x14ac:dyDescent="0.3">
      <c r="B130" s="34" t="s">
        <v>163</v>
      </c>
      <c r="C130" s="35">
        <v>15</v>
      </c>
      <c r="D130" s="36">
        <f t="shared" si="12"/>
        <v>0.05</v>
      </c>
      <c r="E130" s="34" t="s">
        <v>164</v>
      </c>
      <c r="F130" s="35" t="s">
        <v>165</v>
      </c>
    </row>
    <row r="131" spans="2:15" x14ac:dyDescent="0.3">
      <c r="B131" s="24" t="s">
        <v>401</v>
      </c>
      <c r="C131" s="22">
        <v>9</v>
      </c>
      <c r="D131" s="25">
        <f t="shared" si="12"/>
        <v>0.03</v>
      </c>
      <c r="E131" s="24" t="s">
        <v>166</v>
      </c>
      <c r="F131" s="22" t="s">
        <v>167</v>
      </c>
    </row>
    <row r="132" spans="2:15" x14ac:dyDescent="0.3">
      <c r="B132" s="34" t="s">
        <v>168</v>
      </c>
      <c r="C132" s="35">
        <v>8</v>
      </c>
      <c r="D132" s="36">
        <f t="shared" si="12"/>
        <v>2.6666666666666668E-2</v>
      </c>
      <c r="E132" s="34" t="s">
        <v>154</v>
      </c>
      <c r="F132" s="43" t="s">
        <v>431</v>
      </c>
    </row>
    <row r="133" spans="2:15" x14ac:dyDescent="0.3">
      <c r="B133" s="24" t="s">
        <v>169</v>
      </c>
      <c r="C133" s="22">
        <v>6</v>
      </c>
      <c r="D133" s="25">
        <f t="shared" si="12"/>
        <v>0.02</v>
      </c>
      <c r="E133" s="24" t="s">
        <v>170</v>
      </c>
      <c r="F133" s="22" t="s">
        <v>99</v>
      </c>
    </row>
    <row r="134" spans="2:15" x14ac:dyDescent="0.3">
      <c r="B134" s="44" t="s">
        <v>44</v>
      </c>
      <c r="C134" s="43">
        <v>6</v>
      </c>
      <c r="D134" s="45">
        <f t="shared" si="12"/>
        <v>0.02</v>
      </c>
      <c r="E134" s="44"/>
      <c r="F134" s="35" t="s">
        <v>61</v>
      </c>
    </row>
    <row r="135" spans="2:15" x14ac:dyDescent="0.3">
      <c r="B135" s="39" t="s">
        <v>22</v>
      </c>
      <c r="C135" s="40">
        <f>SUM(C126:C134)</f>
        <v>300</v>
      </c>
      <c r="D135" s="41">
        <f>SUM(D126:D134)</f>
        <v>1.0000000000000002</v>
      </c>
      <c r="E135" s="41"/>
      <c r="F135" s="41"/>
    </row>
    <row r="138" spans="2:15" ht="16.05" customHeight="1" thickBot="1" x14ac:dyDescent="0.35">
      <c r="B138" s="61" t="s">
        <v>9</v>
      </c>
      <c r="C138" s="60" t="s">
        <v>175</v>
      </c>
    </row>
    <row r="139" spans="2:15" ht="30" customHeight="1" thickBot="1" x14ac:dyDescent="0.35">
      <c r="B139" s="18" t="s">
        <v>174</v>
      </c>
      <c r="C139" s="19" t="s">
        <v>74</v>
      </c>
      <c r="D139" s="19"/>
      <c r="E139" s="19" t="s">
        <v>176</v>
      </c>
      <c r="F139" s="19"/>
      <c r="K139" s="61" t="s">
        <v>9</v>
      </c>
      <c r="L139" s="60" t="s">
        <v>510</v>
      </c>
      <c r="N139" s="400" t="s">
        <v>513</v>
      </c>
      <c r="O139" s="400"/>
    </row>
    <row r="140" spans="2:15" x14ac:dyDescent="0.3">
      <c r="B140" s="30"/>
      <c r="K140" s="18" t="s">
        <v>174</v>
      </c>
      <c r="L140" s="19" t="s">
        <v>74</v>
      </c>
      <c r="M140" s="19"/>
      <c r="N140" s="19" t="s">
        <v>176</v>
      </c>
      <c r="O140" s="19"/>
    </row>
    <row r="141" spans="2:15" x14ac:dyDescent="0.3">
      <c r="B141" s="31" t="s">
        <v>54</v>
      </c>
      <c r="C141" s="32" t="s">
        <v>30</v>
      </c>
      <c r="D141" s="33" t="s">
        <v>55</v>
      </c>
      <c r="E141" s="33" t="s">
        <v>57</v>
      </c>
      <c r="F141" s="32" t="s">
        <v>58</v>
      </c>
      <c r="K141" s="30"/>
    </row>
    <row r="142" spans="2:15" x14ac:dyDescent="0.3">
      <c r="B142" s="34" t="s">
        <v>402</v>
      </c>
      <c r="C142" s="35">
        <v>50</v>
      </c>
      <c r="D142" s="36">
        <f>C142/$C$152</f>
        <v>0.31645569620253167</v>
      </c>
      <c r="E142" s="34" t="s">
        <v>618</v>
      </c>
      <c r="F142" s="35" t="s">
        <v>33</v>
      </c>
      <c r="K142" s="31" t="s">
        <v>54</v>
      </c>
      <c r="L142" s="32" t="s">
        <v>30</v>
      </c>
      <c r="M142" s="33" t="s">
        <v>55</v>
      </c>
      <c r="N142" s="33" t="s">
        <v>57</v>
      </c>
      <c r="O142" s="32" t="s">
        <v>58</v>
      </c>
    </row>
    <row r="143" spans="2:15" x14ac:dyDescent="0.3">
      <c r="B143" s="24" t="s">
        <v>177</v>
      </c>
      <c r="C143" s="22">
        <v>44</v>
      </c>
      <c r="D143" s="25">
        <f t="shared" ref="D143:D152" si="13">C143/$C$152</f>
        <v>0.27848101265822783</v>
      </c>
      <c r="E143" s="24" t="s">
        <v>181</v>
      </c>
      <c r="F143" s="22" t="s">
        <v>431</v>
      </c>
      <c r="K143" s="34" t="s">
        <v>402</v>
      </c>
      <c r="L143" s="35">
        <v>19</v>
      </c>
      <c r="M143" s="36">
        <f>L143/$L$150</f>
        <v>0.31666666666666665</v>
      </c>
      <c r="N143" s="34" t="s">
        <v>618</v>
      </c>
      <c r="O143" s="35" t="s">
        <v>33</v>
      </c>
    </row>
    <row r="144" spans="2:15" ht="28.8" x14ac:dyDescent="0.3">
      <c r="B144" s="34" t="s">
        <v>178</v>
      </c>
      <c r="C144" s="35">
        <v>23</v>
      </c>
      <c r="D144" s="36">
        <f t="shared" si="13"/>
        <v>0.14556962025316456</v>
      </c>
      <c r="E144" s="34" t="s">
        <v>182</v>
      </c>
      <c r="F144" s="35" t="s">
        <v>59</v>
      </c>
      <c r="K144" s="24" t="s">
        <v>177</v>
      </c>
      <c r="L144" s="22">
        <v>14</v>
      </c>
      <c r="M144" s="25">
        <f t="shared" ref="M144:M150" si="14">L144/$L$150</f>
        <v>0.23333333333333334</v>
      </c>
      <c r="N144" s="24" t="s">
        <v>181</v>
      </c>
      <c r="O144" s="22" t="s">
        <v>431</v>
      </c>
    </row>
    <row r="145" spans="2:15" x14ac:dyDescent="0.3">
      <c r="B145" s="24" t="s">
        <v>186</v>
      </c>
      <c r="C145" s="22">
        <v>7</v>
      </c>
      <c r="D145" s="25">
        <f t="shared" si="13"/>
        <v>4.4303797468354431E-2</v>
      </c>
      <c r="E145" s="24" t="s">
        <v>187</v>
      </c>
      <c r="F145" s="22" t="s">
        <v>99</v>
      </c>
      <c r="K145" s="34" t="s">
        <v>178</v>
      </c>
      <c r="L145" s="35">
        <v>7</v>
      </c>
      <c r="M145" s="36">
        <f t="shared" si="14"/>
        <v>0.11666666666666667</v>
      </c>
      <c r="N145" s="34" t="s">
        <v>182</v>
      </c>
      <c r="O145" s="35" t="s">
        <v>59</v>
      </c>
    </row>
    <row r="146" spans="2:15" ht="28.8" x14ac:dyDescent="0.3">
      <c r="B146" s="34" t="s">
        <v>183</v>
      </c>
      <c r="C146" s="35">
        <v>6</v>
      </c>
      <c r="D146" s="36">
        <f t="shared" si="13"/>
        <v>3.7974683544303799E-2</v>
      </c>
      <c r="E146" s="34" t="s">
        <v>184</v>
      </c>
      <c r="F146" s="35" t="s">
        <v>59</v>
      </c>
      <c r="K146" s="24" t="s">
        <v>186</v>
      </c>
      <c r="L146" s="22">
        <v>5</v>
      </c>
      <c r="M146" s="25">
        <f t="shared" si="14"/>
        <v>8.3333333333333329E-2</v>
      </c>
      <c r="N146" s="24" t="s">
        <v>187</v>
      </c>
      <c r="O146" s="22" t="s">
        <v>99</v>
      </c>
    </row>
    <row r="147" spans="2:15" x14ac:dyDescent="0.3">
      <c r="B147" s="24" t="s">
        <v>188</v>
      </c>
      <c r="C147" s="22">
        <v>4</v>
      </c>
      <c r="D147" s="25">
        <f t="shared" si="13"/>
        <v>2.5316455696202531E-2</v>
      </c>
      <c r="E147" s="24" t="s">
        <v>189</v>
      </c>
      <c r="F147" s="22" t="s">
        <v>61</v>
      </c>
      <c r="K147" s="34" t="s">
        <v>511</v>
      </c>
      <c r="L147" s="35">
        <v>1</v>
      </c>
      <c r="M147" s="36">
        <f t="shared" si="14"/>
        <v>1.6666666666666666E-2</v>
      </c>
      <c r="N147" s="34" t="s">
        <v>191</v>
      </c>
      <c r="O147" s="35" t="s">
        <v>432</v>
      </c>
    </row>
    <row r="148" spans="2:15" x14ac:dyDescent="0.3">
      <c r="B148" s="44" t="s">
        <v>185</v>
      </c>
      <c r="C148" s="43">
        <v>3</v>
      </c>
      <c r="D148" s="45">
        <f t="shared" si="13"/>
        <v>1.8987341772151899E-2</v>
      </c>
      <c r="E148" s="44" t="s">
        <v>190</v>
      </c>
      <c r="F148" s="43" t="s">
        <v>61</v>
      </c>
      <c r="K148" s="24" t="s">
        <v>44</v>
      </c>
      <c r="L148" s="22">
        <v>10</v>
      </c>
      <c r="M148" s="25">
        <f t="shared" si="14"/>
        <v>0.16666666666666666</v>
      </c>
      <c r="N148" s="24"/>
      <c r="O148" s="22" t="s">
        <v>61</v>
      </c>
    </row>
    <row r="149" spans="2:15" ht="28.8" x14ac:dyDescent="0.3">
      <c r="B149" s="24" t="s">
        <v>179</v>
      </c>
      <c r="C149" s="22">
        <v>2</v>
      </c>
      <c r="D149" s="25">
        <f t="shared" si="13"/>
        <v>1.2658227848101266E-2</v>
      </c>
      <c r="E149" s="24" t="s">
        <v>191</v>
      </c>
      <c r="F149" s="22" t="s">
        <v>432</v>
      </c>
      <c r="K149" s="34" t="s">
        <v>512</v>
      </c>
      <c r="L149" s="35">
        <v>4</v>
      </c>
      <c r="M149" s="36">
        <f t="shared" si="14"/>
        <v>6.6666666666666666E-2</v>
      </c>
      <c r="N149" s="34"/>
      <c r="O149" s="35" t="s">
        <v>61</v>
      </c>
    </row>
    <row r="150" spans="2:15" x14ac:dyDescent="0.3">
      <c r="B150" s="34" t="s">
        <v>44</v>
      </c>
      <c r="C150" s="35">
        <v>11</v>
      </c>
      <c r="D150" s="36">
        <f t="shared" si="13"/>
        <v>6.9620253164556958E-2</v>
      </c>
      <c r="E150" s="34"/>
      <c r="F150" s="35" t="s">
        <v>61</v>
      </c>
      <c r="K150" s="39" t="s">
        <v>22</v>
      </c>
      <c r="L150" s="40">
        <f>SUM(L143:L149)</f>
        <v>60</v>
      </c>
      <c r="M150" s="42">
        <f t="shared" si="14"/>
        <v>1</v>
      </c>
      <c r="N150" s="41"/>
      <c r="O150" s="41"/>
    </row>
    <row r="151" spans="2:15" x14ac:dyDescent="0.3">
      <c r="B151" s="24" t="s">
        <v>403</v>
      </c>
      <c r="C151" s="22">
        <v>8</v>
      </c>
      <c r="D151" s="25">
        <f t="shared" si="13"/>
        <v>5.0632911392405063E-2</v>
      </c>
      <c r="E151" s="24"/>
      <c r="F151" s="22" t="s">
        <v>61</v>
      </c>
    </row>
    <row r="152" spans="2:15" x14ac:dyDescent="0.3">
      <c r="B152" s="39" t="s">
        <v>22</v>
      </c>
      <c r="C152" s="40">
        <f>SUM(C142:C151)</f>
        <v>158</v>
      </c>
      <c r="D152" s="42">
        <f t="shared" si="13"/>
        <v>1</v>
      </c>
      <c r="E152" s="41"/>
      <c r="F152" s="41"/>
    </row>
    <row r="155" spans="2:15" ht="31.8" thickBot="1" x14ac:dyDescent="0.35">
      <c r="B155" s="61" t="s">
        <v>10</v>
      </c>
      <c r="C155" s="60" t="s">
        <v>192</v>
      </c>
    </row>
    <row r="156" spans="2:15" ht="18.600000000000001" thickBot="1" x14ac:dyDescent="0.35">
      <c r="B156" s="18" t="s">
        <v>216</v>
      </c>
      <c r="C156" s="19" t="s">
        <v>43</v>
      </c>
      <c r="D156" s="19"/>
      <c r="E156" s="19" t="s">
        <v>202</v>
      </c>
      <c r="F156" s="19"/>
      <c r="K156" s="61" t="s">
        <v>10</v>
      </c>
      <c r="L156" s="60" t="s">
        <v>496</v>
      </c>
    </row>
    <row r="157" spans="2:15" x14ac:dyDescent="0.3">
      <c r="B157" s="30"/>
      <c r="K157" s="18" t="s">
        <v>216</v>
      </c>
      <c r="L157" s="19" t="s">
        <v>43</v>
      </c>
      <c r="M157" s="19"/>
      <c r="N157" s="19" t="s">
        <v>514</v>
      </c>
      <c r="O157" s="19"/>
    </row>
    <row r="158" spans="2:15" x14ac:dyDescent="0.3">
      <c r="B158" s="31" t="s">
        <v>54</v>
      </c>
      <c r="C158" s="32" t="s">
        <v>30</v>
      </c>
      <c r="D158" s="33" t="s">
        <v>55</v>
      </c>
      <c r="E158" s="33" t="s">
        <v>57</v>
      </c>
      <c r="F158" s="32" t="s">
        <v>58</v>
      </c>
      <c r="K158" s="30"/>
    </row>
    <row r="159" spans="2:15" x14ac:dyDescent="0.3">
      <c r="B159" s="34" t="s">
        <v>193</v>
      </c>
      <c r="C159" s="35">
        <v>285</v>
      </c>
      <c r="D159" s="36">
        <f t="shared" ref="D159:D170" si="15">C159/$C$171</f>
        <v>0.45238095238095238</v>
      </c>
      <c r="E159" s="37" t="s">
        <v>205</v>
      </c>
      <c r="F159" s="35" t="s">
        <v>99</v>
      </c>
      <c r="K159" s="31" t="s">
        <v>54</v>
      </c>
      <c r="L159" s="32" t="s">
        <v>30</v>
      </c>
      <c r="M159" s="33" t="s">
        <v>55</v>
      </c>
      <c r="N159" s="33" t="s">
        <v>57</v>
      </c>
      <c r="O159" s="32" t="s">
        <v>58</v>
      </c>
    </row>
    <row r="160" spans="2:15" ht="28.8" x14ac:dyDescent="0.3">
      <c r="B160" s="24" t="s">
        <v>194</v>
      </c>
      <c r="C160" s="22">
        <v>91</v>
      </c>
      <c r="D160" s="25">
        <f t="shared" si="15"/>
        <v>0.14444444444444443</v>
      </c>
      <c r="E160" s="38" t="s">
        <v>210</v>
      </c>
      <c r="F160" s="22" t="s">
        <v>211</v>
      </c>
      <c r="K160" s="37" t="s">
        <v>193</v>
      </c>
      <c r="L160" s="35">
        <v>99</v>
      </c>
      <c r="M160" s="36">
        <f>L160/$L$171</f>
        <v>0.30937500000000001</v>
      </c>
      <c r="N160" s="37" t="s">
        <v>205</v>
      </c>
      <c r="O160" s="35" t="s">
        <v>99</v>
      </c>
    </row>
    <row r="161" spans="2:15" x14ac:dyDescent="0.3">
      <c r="B161" s="34" t="s">
        <v>195</v>
      </c>
      <c r="C161" s="35">
        <v>50</v>
      </c>
      <c r="D161" s="36">
        <f t="shared" si="15"/>
        <v>7.9365079365079361E-2</v>
      </c>
      <c r="E161" s="37" t="s">
        <v>212</v>
      </c>
      <c r="F161" s="35" t="s">
        <v>33</v>
      </c>
      <c r="K161" s="38" t="s">
        <v>194</v>
      </c>
      <c r="L161" s="22">
        <v>35</v>
      </c>
      <c r="M161" s="25">
        <f t="shared" ref="M161:M171" si="16">L161/$L$171</f>
        <v>0.109375</v>
      </c>
      <c r="N161" s="38" t="s">
        <v>210</v>
      </c>
      <c r="O161" s="22" t="s">
        <v>211</v>
      </c>
    </row>
    <row r="162" spans="2:15" ht="28.8" x14ac:dyDescent="0.3">
      <c r="B162" s="24" t="s">
        <v>626</v>
      </c>
      <c r="C162" s="22">
        <v>36</v>
      </c>
      <c r="D162" s="25">
        <f t="shared" si="15"/>
        <v>5.7142857142857141E-2</v>
      </c>
      <c r="E162" s="38" t="s">
        <v>625</v>
      </c>
      <c r="F162" s="22" t="s">
        <v>61</v>
      </c>
      <c r="K162" s="37" t="s">
        <v>195</v>
      </c>
      <c r="L162" s="35">
        <v>42</v>
      </c>
      <c r="M162" s="36">
        <f t="shared" si="16"/>
        <v>0.13125000000000001</v>
      </c>
      <c r="N162" s="37" t="s">
        <v>212</v>
      </c>
      <c r="O162" s="35" t="s">
        <v>33</v>
      </c>
    </row>
    <row r="163" spans="2:15" x14ac:dyDescent="0.3">
      <c r="B163" s="34" t="s">
        <v>197</v>
      </c>
      <c r="C163" s="35">
        <v>26</v>
      </c>
      <c r="D163" s="36">
        <f t="shared" si="15"/>
        <v>4.1269841269841269E-2</v>
      </c>
      <c r="E163" s="37" t="s">
        <v>206</v>
      </c>
      <c r="F163" s="35" t="s">
        <v>33</v>
      </c>
      <c r="K163" s="38" t="s">
        <v>518</v>
      </c>
      <c r="L163" s="22">
        <v>19</v>
      </c>
      <c r="M163" s="25">
        <f t="shared" si="16"/>
        <v>5.9374999999999997E-2</v>
      </c>
      <c r="N163" s="38" t="s">
        <v>519</v>
      </c>
      <c r="O163" s="22" t="s">
        <v>61</v>
      </c>
    </row>
    <row r="164" spans="2:15" ht="28.8" x14ac:dyDescent="0.3">
      <c r="B164" s="24" t="s">
        <v>198</v>
      </c>
      <c r="C164" s="22">
        <v>16</v>
      </c>
      <c r="D164" s="25">
        <f t="shared" si="15"/>
        <v>2.5396825396825397E-2</v>
      </c>
      <c r="E164" s="38" t="s">
        <v>207</v>
      </c>
      <c r="F164" s="22" t="s">
        <v>61</v>
      </c>
      <c r="K164" s="37" t="s">
        <v>197</v>
      </c>
      <c r="L164" s="35">
        <v>27</v>
      </c>
      <c r="M164" s="36">
        <f t="shared" si="16"/>
        <v>8.4375000000000006E-2</v>
      </c>
      <c r="N164" s="37" t="s">
        <v>206</v>
      </c>
      <c r="O164" s="35" t="s">
        <v>33</v>
      </c>
    </row>
    <row r="165" spans="2:15" ht="28.8" x14ac:dyDescent="0.3">
      <c r="B165" s="34" t="s">
        <v>199</v>
      </c>
      <c r="C165" s="35">
        <v>19</v>
      </c>
      <c r="D165" s="36">
        <f t="shared" si="15"/>
        <v>3.0158730158730159E-2</v>
      </c>
      <c r="E165" s="37" t="s">
        <v>214</v>
      </c>
      <c r="F165" s="35" t="s">
        <v>433</v>
      </c>
      <c r="K165" s="38" t="s">
        <v>626</v>
      </c>
      <c r="L165" s="22">
        <v>14</v>
      </c>
      <c r="M165" s="25">
        <f t="shared" si="16"/>
        <v>4.3749999999999997E-2</v>
      </c>
      <c r="N165" s="38" t="s">
        <v>515</v>
      </c>
      <c r="O165" s="22" t="s">
        <v>61</v>
      </c>
    </row>
    <row r="166" spans="2:15" ht="28.8" x14ac:dyDescent="0.3">
      <c r="B166" s="24" t="s">
        <v>203</v>
      </c>
      <c r="C166" s="22">
        <v>16</v>
      </c>
      <c r="D166" s="25">
        <f t="shared" si="15"/>
        <v>2.5396825396825397E-2</v>
      </c>
      <c r="E166" s="38" t="s">
        <v>204</v>
      </c>
      <c r="K166" s="37" t="s">
        <v>199</v>
      </c>
      <c r="L166" s="35">
        <v>12</v>
      </c>
      <c r="M166" s="36">
        <f t="shared" si="16"/>
        <v>3.7499999999999999E-2</v>
      </c>
      <c r="N166" s="37" t="s">
        <v>214</v>
      </c>
      <c r="O166" s="35" t="s">
        <v>433</v>
      </c>
    </row>
    <row r="167" spans="2:15" ht="28.8" x14ac:dyDescent="0.3">
      <c r="B167" s="34" t="s">
        <v>516</v>
      </c>
      <c r="C167" s="35">
        <v>15</v>
      </c>
      <c r="D167" s="36">
        <f t="shared" si="15"/>
        <v>2.3809523809523808E-2</v>
      </c>
      <c r="E167" s="37" t="s">
        <v>213</v>
      </c>
      <c r="F167" s="35"/>
      <c r="K167" s="38" t="s">
        <v>203</v>
      </c>
      <c r="L167" s="22">
        <v>16</v>
      </c>
      <c r="M167" s="25">
        <f t="shared" si="16"/>
        <v>0.05</v>
      </c>
      <c r="N167" s="38" t="s">
        <v>204</v>
      </c>
    </row>
    <row r="168" spans="2:15" x14ac:dyDescent="0.3">
      <c r="B168" s="24" t="s">
        <v>200</v>
      </c>
      <c r="C168" s="22">
        <v>14</v>
      </c>
      <c r="D168" s="25">
        <f t="shared" si="15"/>
        <v>2.2222222222222223E-2</v>
      </c>
      <c r="E168" s="38" t="s">
        <v>208</v>
      </c>
      <c r="F168" s="22" t="s">
        <v>61</v>
      </c>
      <c r="K168" s="37" t="s">
        <v>520</v>
      </c>
      <c r="L168" s="35">
        <v>14</v>
      </c>
      <c r="M168" s="36">
        <f t="shared" si="16"/>
        <v>4.3749999999999997E-2</v>
      </c>
      <c r="N168" s="37" t="s">
        <v>522</v>
      </c>
      <c r="O168" s="35" t="s">
        <v>61</v>
      </c>
    </row>
    <row r="169" spans="2:15" x14ac:dyDescent="0.3">
      <c r="B169" s="34" t="s">
        <v>201</v>
      </c>
      <c r="C169" s="35">
        <v>11</v>
      </c>
      <c r="D169" s="36">
        <f t="shared" si="15"/>
        <v>1.7460317460317461E-2</v>
      </c>
      <c r="E169" s="37" t="s">
        <v>215</v>
      </c>
      <c r="F169" s="35" t="s">
        <v>61</v>
      </c>
      <c r="K169" s="38" t="s">
        <v>523</v>
      </c>
      <c r="L169" s="22">
        <v>9</v>
      </c>
      <c r="M169" s="25">
        <f t="shared" si="16"/>
        <v>2.8125000000000001E-2</v>
      </c>
      <c r="N169" s="38" t="s">
        <v>524</v>
      </c>
      <c r="O169" s="22" t="s">
        <v>167</v>
      </c>
    </row>
    <row r="170" spans="2:15" ht="28.8" x14ac:dyDescent="0.3">
      <c r="B170" s="24" t="s">
        <v>109</v>
      </c>
      <c r="C170" s="22">
        <v>51</v>
      </c>
      <c r="D170" s="25">
        <f t="shared" si="15"/>
        <v>8.0952380952380956E-2</v>
      </c>
      <c r="E170" s="38" t="s">
        <v>209</v>
      </c>
      <c r="F170" s="22" t="s">
        <v>61</v>
      </c>
      <c r="K170" s="37" t="s">
        <v>109</v>
      </c>
      <c r="L170" s="35">
        <v>33</v>
      </c>
      <c r="M170" s="36">
        <f t="shared" si="16"/>
        <v>0.10312499999999999</v>
      </c>
      <c r="N170" s="37" t="s">
        <v>209</v>
      </c>
      <c r="O170" s="35" t="s">
        <v>61</v>
      </c>
    </row>
    <row r="171" spans="2:15" x14ac:dyDescent="0.3">
      <c r="B171" s="39" t="s">
        <v>22</v>
      </c>
      <c r="C171" s="40">
        <f>SUM(C159:C170)</f>
        <v>630</v>
      </c>
      <c r="D171" s="41">
        <f>SUM(D159:D170)</f>
        <v>1.0000000000000002</v>
      </c>
      <c r="E171" s="41"/>
      <c r="F171" s="41"/>
      <c r="K171" s="39" t="s">
        <v>22</v>
      </c>
      <c r="L171" s="40">
        <f>SUM(L160:L170)</f>
        <v>320</v>
      </c>
      <c r="M171" s="42">
        <f t="shared" si="16"/>
        <v>1</v>
      </c>
      <c r="N171" s="41"/>
      <c r="O171" s="41"/>
    </row>
    <row r="172" spans="2:15" x14ac:dyDescent="0.3">
      <c r="K172" s="217"/>
      <c r="L172" s="218"/>
      <c r="M172" s="220"/>
      <c r="N172" s="220"/>
      <c r="O172" s="220"/>
    </row>
    <row r="173" spans="2:15" x14ac:dyDescent="0.3">
      <c r="E173" s="38"/>
    </row>
    <row r="174" spans="2:15" ht="18.600000000000001" thickBot="1" x14ac:dyDescent="0.35">
      <c r="B174" s="61" t="s">
        <v>18</v>
      </c>
      <c r="C174" s="60" t="s">
        <v>217</v>
      </c>
    </row>
    <row r="175" spans="2:15" ht="18.600000000000001" thickBot="1" x14ac:dyDescent="0.35">
      <c r="B175" s="18" t="s">
        <v>229</v>
      </c>
      <c r="C175" s="19" t="s">
        <v>41</v>
      </c>
      <c r="D175" s="19"/>
      <c r="E175" s="19" t="s">
        <v>218</v>
      </c>
      <c r="F175" s="19"/>
      <c r="K175" s="222" t="s">
        <v>525</v>
      </c>
    </row>
    <row r="176" spans="2:15" x14ac:dyDescent="0.3">
      <c r="B176" s="30"/>
      <c r="K176" s="18"/>
      <c r="L176" s="19"/>
      <c r="M176" s="19"/>
      <c r="N176" s="19"/>
      <c r="O176" s="19"/>
    </row>
    <row r="177" spans="2:15" x14ac:dyDescent="0.3">
      <c r="B177" s="31" t="s">
        <v>54</v>
      </c>
      <c r="C177" s="32" t="s">
        <v>30</v>
      </c>
      <c r="D177" s="33" t="s">
        <v>55</v>
      </c>
      <c r="E177" s="33" t="s">
        <v>57</v>
      </c>
      <c r="F177" s="32" t="s">
        <v>58</v>
      </c>
      <c r="K177" s="30"/>
    </row>
    <row r="178" spans="2:15" x14ac:dyDescent="0.3">
      <c r="B178" s="37" t="s">
        <v>219</v>
      </c>
      <c r="C178" s="35">
        <v>24</v>
      </c>
      <c r="D178" s="36">
        <f>C178/100</f>
        <v>0.24</v>
      </c>
      <c r="E178" s="37" t="s">
        <v>223</v>
      </c>
      <c r="F178" s="35" t="s">
        <v>99</v>
      </c>
    </row>
    <row r="179" spans="2:15" x14ac:dyDescent="0.3">
      <c r="B179" s="38" t="s">
        <v>404</v>
      </c>
      <c r="C179" s="22">
        <v>23</v>
      </c>
      <c r="D179" s="25">
        <f t="shared" ref="D179:D184" si="17">C179/100</f>
        <v>0.23</v>
      </c>
      <c r="E179" s="38" t="s">
        <v>224</v>
      </c>
      <c r="F179" s="22" t="s">
        <v>33</v>
      </c>
    </row>
    <row r="180" spans="2:15" x14ac:dyDescent="0.3">
      <c r="B180" s="37" t="s">
        <v>405</v>
      </c>
      <c r="C180" s="35">
        <v>21</v>
      </c>
      <c r="D180" s="36">
        <f t="shared" si="17"/>
        <v>0.21</v>
      </c>
      <c r="E180" s="37" t="s">
        <v>225</v>
      </c>
      <c r="F180" s="35" t="s">
        <v>432</v>
      </c>
    </row>
    <row r="181" spans="2:15" ht="28.8" x14ac:dyDescent="0.3">
      <c r="B181" s="38" t="s">
        <v>406</v>
      </c>
      <c r="C181" s="22">
        <v>17</v>
      </c>
      <c r="D181" s="25">
        <f t="shared" si="17"/>
        <v>0.17</v>
      </c>
      <c r="E181" s="38" t="s">
        <v>226</v>
      </c>
      <c r="F181" s="22" t="s">
        <v>167</v>
      </c>
    </row>
    <row r="182" spans="2:15" x14ac:dyDescent="0.3">
      <c r="B182" s="37" t="s">
        <v>220</v>
      </c>
      <c r="C182" s="35">
        <v>7</v>
      </c>
      <c r="D182" s="36">
        <f t="shared" si="17"/>
        <v>7.0000000000000007E-2</v>
      </c>
      <c r="E182" s="37" t="s">
        <v>227</v>
      </c>
      <c r="F182" s="35" t="s">
        <v>61</v>
      </c>
    </row>
    <row r="183" spans="2:15" x14ac:dyDescent="0.3">
      <c r="B183" s="38" t="s">
        <v>221</v>
      </c>
      <c r="C183" s="22">
        <v>7</v>
      </c>
      <c r="D183" s="25">
        <f t="shared" si="17"/>
        <v>7.0000000000000007E-2</v>
      </c>
      <c r="E183" s="38" t="s">
        <v>228</v>
      </c>
      <c r="F183" s="22" t="s">
        <v>61</v>
      </c>
    </row>
    <row r="184" spans="2:15" x14ac:dyDescent="0.3">
      <c r="B184" s="37" t="s">
        <v>222</v>
      </c>
      <c r="C184" s="35">
        <v>1</v>
      </c>
      <c r="D184" s="36">
        <f t="shared" si="17"/>
        <v>0.01</v>
      </c>
      <c r="E184" s="34"/>
      <c r="F184" s="35" t="s">
        <v>61</v>
      </c>
    </row>
    <row r="185" spans="2:15" x14ac:dyDescent="0.3">
      <c r="B185" s="39" t="s">
        <v>22</v>
      </c>
      <c r="C185" s="40">
        <f>SUM(C178:C184)</f>
        <v>100</v>
      </c>
      <c r="D185" s="41">
        <f>SUM(D178:D184)</f>
        <v>1</v>
      </c>
      <c r="E185" s="41"/>
      <c r="F185" s="41"/>
    </row>
    <row r="188" spans="2:15" ht="18.600000000000001" thickBot="1" x14ac:dyDescent="0.35">
      <c r="B188" s="61" t="s">
        <v>19</v>
      </c>
      <c r="C188" s="60" t="s">
        <v>231</v>
      </c>
    </row>
    <row r="189" spans="2:15" ht="18.600000000000001" thickBot="1" x14ac:dyDescent="0.35">
      <c r="B189" s="18" t="s">
        <v>230</v>
      </c>
      <c r="C189" s="19" t="s">
        <v>41</v>
      </c>
      <c r="D189" s="19"/>
      <c r="E189" s="19" t="s">
        <v>236</v>
      </c>
      <c r="F189" s="19"/>
      <c r="K189" s="222" t="s">
        <v>526</v>
      </c>
    </row>
    <row r="190" spans="2:15" x14ac:dyDescent="0.3">
      <c r="B190" s="30"/>
      <c r="K190" s="18"/>
      <c r="L190" s="19"/>
      <c r="M190" s="19"/>
      <c r="N190" s="19"/>
      <c r="O190" s="19"/>
    </row>
    <row r="191" spans="2:15" x14ac:dyDescent="0.3">
      <c r="B191" s="31" t="s">
        <v>54</v>
      </c>
      <c r="C191" s="32" t="s">
        <v>30</v>
      </c>
      <c r="D191" s="33" t="s">
        <v>55</v>
      </c>
      <c r="E191" s="33" t="s">
        <v>57</v>
      </c>
      <c r="F191" s="32" t="s">
        <v>58</v>
      </c>
      <c r="K191" s="30"/>
    </row>
    <row r="192" spans="2:15" ht="28.8" x14ac:dyDescent="0.3">
      <c r="B192" s="34" t="s">
        <v>407</v>
      </c>
      <c r="C192" s="35">
        <v>56</v>
      </c>
      <c r="D192" s="36">
        <f>C192/$C$199</f>
        <v>0.40287769784172661</v>
      </c>
      <c r="E192" s="37" t="s">
        <v>232</v>
      </c>
      <c r="F192" s="35" t="s">
        <v>61</v>
      </c>
    </row>
    <row r="193" spans="2:15" ht="28.8" x14ac:dyDescent="0.3">
      <c r="B193" s="24" t="s">
        <v>233</v>
      </c>
      <c r="C193" s="22">
        <v>31</v>
      </c>
      <c r="D193" s="25">
        <f t="shared" ref="D193:D198" si="18">C193/$C$199</f>
        <v>0.22302158273381295</v>
      </c>
      <c r="E193" s="38" t="s">
        <v>234</v>
      </c>
      <c r="F193" s="22" t="s">
        <v>33</v>
      </c>
    </row>
    <row r="194" spans="2:15" x14ac:dyDescent="0.3">
      <c r="B194" s="34" t="s">
        <v>408</v>
      </c>
      <c r="C194" s="35">
        <v>19</v>
      </c>
      <c r="D194" s="36">
        <f t="shared" si="18"/>
        <v>0.1366906474820144</v>
      </c>
      <c r="E194" s="37" t="s">
        <v>235</v>
      </c>
      <c r="F194" s="35" t="s">
        <v>99</v>
      </c>
    </row>
    <row r="195" spans="2:15" ht="28.8" x14ac:dyDescent="0.3">
      <c r="B195" s="24" t="s">
        <v>237</v>
      </c>
      <c r="C195" s="22">
        <v>14</v>
      </c>
      <c r="D195" s="25">
        <f t="shared" si="18"/>
        <v>0.10071942446043165</v>
      </c>
      <c r="E195" s="38" t="s">
        <v>238</v>
      </c>
      <c r="F195" s="22" t="s">
        <v>431</v>
      </c>
    </row>
    <row r="196" spans="2:15" x14ac:dyDescent="0.3">
      <c r="B196" s="34" t="s">
        <v>239</v>
      </c>
      <c r="C196" s="35">
        <v>8</v>
      </c>
      <c r="D196" s="36">
        <f t="shared" si="18"/>
        <v>5.7553956834532377E-2</v>
      </c>
      <c r="E196" s="37" t="s">
        <v>240</v>
      </c>
      <c r="F196" s="35" t="s">
        <v>211</v>
      </c>
    </row>
    <row r="197" spans="2:15" ht="28.8" x14ac:dyDescent="0.3">
      <c r="B197" s="24" t="s">
        <v>241</v>
      </c>
      <c r="C197" s="22">
        <v>8</v>
      </c>
      <c r="D197" s="25">
        <f t="shared" si="18"/>
        <v>5.7553956834532377E-2</v>
      </c>
      <c r="E197" s="38" t="s">
        <v>242</v>
      </c>
      <c r="F197" s="22" t="s">
        <v>167</v>
      </c>
    </row>
    <row r="198" spans="2:15" x14ac:dyDescent="0.3">
      <c r="B198" s="34" t="s">
        <v>243</v>
      </c>
      <c r="C198" s="35">
        <v>3</v>
      </c>
      <c r="D198" s="36">
        <f t="shared" si="18"/>
        <v>2.1582733812949641E-2</v>
      </c>
      <c r="E198" s="34"/>
      <c r="F198" s="35" t="s">
        <v>61</v>
      </c>
    </row>
    <row r="199" spans="2:15" x14ac:dyDescent="0.3">
      <c r="B199" s="39" t="s">
        <v>22</v>
      </c>
      <c r="C199" s="40">
        <f>SUM(C192:C198)</f>
        <v>139</v>
      </c>
      <c r="D199" s="41">
        <f>SUM(D192:D198)</f>
        <v>1</v>
      </c>
      <c r="E199" s="41"/>
      <c r="F199" s="41"/>
    </row>
    <row r="202" spans="2:15" ht="18.600000000000001" thickBot="1" x14ac:dyDescent="0.35">
      <c r="B202" s="61" t="s">
        <v>11</v>
      </c>
      <c r="C202" s="60" t="s">
        <v>244</v>
      </c>
    </row>
    <row r="203" spans="2:15" ht="18.600000000000001" thickBot="1" x14ac:dyDescent="0.35">
      <c r="B203" s="18" t="s">
        <v>245</v>
      </c>
      <c r="C203" s="19" t="s">
        <v>43</v>
      </c>
      <c r="D203" s="19"/>
      <c r="E203" s="19" t="s">
        <v>249</v>
      </c>
      <c r="F203" s="19"/>
      <c r="K203" s="222" t="s">
        <v>527</v>
      </c>
    </row>
    <row r="204" spans="2:15" x14ac:dyDescent="0.3">
      <c r="B204" s="30"/>
      <c r="K204" s="18"/>
      <c r="L204" s="19"/>
      <c r="M204" s="19"/>
      <c r="N204" s="19"/>
      <c r="O204" s="19"/>
    </row>
    <row r="205" spans="2:15" x14ac:dyDescent="0.3">
      <c r="B205" s="31" t="s">
        <v>54</v>
      </c>
      <c r="C205" s="32" t="s">
        <v>30</v>
      </c>
      <c r="D205" s="33" t="s">
        <v>55</v>
      </c>
      <c r="E205" s="33" t="s">
        <v>57</v>
      </c>
      <c r="F205" s="32" t="s">
        <v>58</v>
      </c>
      <c r="K205" s="30"/>
    </row>
    <row r="206" spans="2:15" x14ac:dyDescent="0.3">
      <c r="B206" s="34" t="s">
        <v>246</v>
      </c>
      <c r="C206" s="35">
        <v>23</v>
      </c>
      <c r="D206" s="36">
        <f>C206/$C$212</f>
        <v>0.38333333333333336</v>
      </c>
      <c r="E206" s="37" t="s">
        <v>253</v>
      </c>
      <c r="F206" s="35" t="s">
        <v>33</v>
      </c>
    </row>
    <row r="207" spans="2:15" x14ac:dyDescent="0.3">
      <c r="B207" s="24" t="s">
        <v>409</v>
      </c>
      <c r="C207" s="22">
        <v>13</v>
      </c>
      <c r="D207" s="25">
        <f t="shared" ref="D207:D211" si="19">C207/$C$212</f>
        <v>0.21666666666666667</v>
      </c>
      <c r="E207" s="38" t="s">
        <v>251</v>
      </c>
      <c r="F207" s="22" t="s">
        <v>99</v>
      </c>
    </row>
    <row r="208" spans="2:15" x14ac:dyDescent="0.3">
      <c r="B208" s="34" t="s">
        <v>410</v>
      </c>
      <c r="C208" s="35">
        <v>13</v>
      </c>
      <c r="D208" s="36">
        <f t="shared" si="19"/>
        <v>0.21666666666666667</v>
      </c>
      <c r="E208" s="37" t="s">
        <v>250</v>
      </c>
      <c r="F208" s="35" t="s">
        <v>431</v>
      </c>
    </row>
    <row r="209" spans="2:15" x14ac:dyDescent="0.3">
      <c r="B209" s="24" t="s">
        <v>411</v>
      </c>
      <c r="C209" s="22">
        <v>6</v>
      </c>
      <c r="D209" s="25">
        <f t="shared" si="19"/>
        <v>0.1</v>
      </c>
      <c r="E209" s="38" t="s">
        <v>252</v>
      </c>
      <c r="F209" s="22" t="s">
        <v>432</v>
      </c>
    </row>
    <row r="210" spans="2:15" ht="28.8" x14ac:dyDescent="0.3">
      <c r="B210" s="34" t="s">
        <v>247</v>
      </c>
      <c r="C210" s="35">
        <v>3</v>
      </c>
      <c r="D210" s="36">
        <f t="shared" si="19"/>
        <v>0.05</v>
      </c>
      <c r="E210" s="37" t="s">
        <v>254</v>
      </c>
      <c r="F210" s="35" t="s">
        <v>167</v>
      </c>
    </row>
    <row r="211" spans="2:15" x14ac:dyDescent="0.3">
      <c r="B211" s="24" t="s">
        <v>248</v>
      </c>
      <c r="C211" s="22">
        <v>2</v>
      </c>
      <c r="D211" s="25">
        <f t="shared" si="19"/>
        <v>3.3333333333333333E-2</v>
      </c>
      <c r="E211" s="38" t="s">
        <v>255</v>
      </c>
      <c r="F211" s="22" t="s">
        <v>61</v>
      </c>
    </row>
    <row r="212" spans="2:15" x14ac:dyDescent="0.3">
      <c r="B212" s="39" t="s">
        <v>22</v>
      </c>
      <c r="C212" s="40">
        <f>SUM(C206:C211)</f>
        <v>60</v>
      </c>
      <c r="D212" s="41">
        <f>SUM(D206:D211)</f>
        <v>1.0000000000000002</v>
      </c>
      <c r="E212" s="41"/>
      <c r="F212" s="41"/>
    </row>
    <row r="215" spans="2:15" ht="18.600000000000001" thickBot="1" x14ac:dyDescent="0.35">
      <c r="B215" s="61" t="s">
        <v>15</v>
      </c>
      <c r="C215" s="60" t="s">
        <v>257</v>
      </c>
    </row>
    <row r="216" spans="2:15" ht="18.600000000000001" thickBot="1" x14ac:dyDescent="0.35">
      <c r="B216" s="18" t="s">
        <v>258</v>
      </c>
      <c r="C216" s="19" t="s">
        <v>43</v>
      </c>
      <c r="D216" s="19"/>
      <c r="E216" s="19" t="s">
        <v>256</v>
      </c>
      <c r="F216" s="19"/>
      <c r="K216" s="222" t="s">
        <v>528</v>
      </c>
    </row>
    <row r="217" spans="2:15" x14ac:dyDescent="0.3">
      <c r="B217" s="30"/>
      <c r="K217" s="18"/>
      <c r="L217" s="19"/>
      <c r="M217" s="19"/>
      <c r="N217" s="19"/>
      <c r="O217" s="19"/>
    </row>
    <row r="218" spans="2:15" x14ac:dyDescent="0.3">
      <c r="B218" s="31" t="s">
        <v>54</v>
      </c>
      <c r="C218" s="32" t="s">
        <v>30</v>
      </c>
      <c r="D218" s="33" t="s">
        <v>55</v>
      </c>
      <c r="E218" s="33" t="s">
        <v>57</v>
      </c>
      <c r="F218" s="32" t="s">
        <v>58</v>
      </c>
      <c r="K218" s="30"/>
    </row>
    <row r="219" spans="2:15" ht="28.8" x14ac:dyDescent="0.3">
      <c r="B219" s="34" t="s">
        <v>412</v>
      </c>
      <c r="C219" s="35">
        <v>38</v>
      </c>
      <c r="D219" s="36">
        <f>C219/$C$222</f>
        <v>0.53521126760563376</v>
      </c>
      <c r="E219" s="37" t="s">
        <v>260</v>
      </c>
      <c r="F219" s="35" t="s">
        <v>99</v>
      </c>
    </row>
    <row r="220" spans="2:15" x14ac:dyDescent="0.3">
      <c r="B220" s="24" t="s">
        <v>259</v>
      </c>
      <c r="C220" s="22">
        <v>31</v>
      </c>
      <c r="D220" s="25">
        <f t="shared" ref="D220:D222" si="20">C220/$C$222</f>
        <v>0.43661971830985913</v>
      </c>
      <c r="E220" s="38" t="s">
        <v>261</v>
      </c>
      <c r="F220" s="22" t="s">
        <v>33</v>
      </c>
    </row>
    <row r="221" spans="2:15" x14ac:dyDescent="0.3">
      <c r="B221" s="34" t="s">
        <v>44</v>
      </c>
      <c r="C221" s="35">
        <v>2</v>
      </c>
      <c r="D221" s="36">
        <f t="shared" si="20"/>
        <v>2.8169014084507043E-2</v>
      </c>
      <c r="E221" s="37"/>
      <c r="F221" s="35" t="s">
        <v>61</v>
      </c>
    </row>
    <row r="222" spans="2:15" x14ac:dyDescent="0.3">
      <c r="B222" s="39" t="s">
        <v>22</v>
      </c>
      <c r="C222" s="40">
        <f>SUM(C219:C221)</f>
        <v>71</v>
      </c>
      <c r="D222" s="42">
        <f t="shared" si="20"/>
        <v>1</v>
      </c>
      <c r="E222" s="41"/>
      <c r="F222" s="41"/>
    </row>
    <row r="225" spans="2:15" ht="18.600000000000001" thickBot="1" x14ac:dyDescent="0.35">
      <c r="B225" s="61" t="s">
        <v>12</v>
      </c>
      <c r="C225" s="60" t="s">
        <v>262</v>
      </c>
    </row>
    <row r="226" spans="2:15" ht="18.600000000000001" thickBot="1" x14ac:dyDescent="0.35">
      <c r="B226" s="18" t="s">
        <v>273</v>
      </c>
      <c r="C226" s="19" t="s">
        <v>41</v>
      </c>
      <c r="D226" s="19"/>
      <c r="E226" s="19" t="s">
        <v>263</v>
      </c>
      <c r="F226" s="19"/>
      <c r="K226" s="61" t="s">
        <v>12</v>
      </c>
      <c r="L226" s="60" t="s">
        <v>529</v>
      </c>
    </row>
    <row r="227" spans="2:15" x14ac:dyDescent="0.3">
      <c r="B227" s="30"/>
      <c r="K227" s="18" t="s">
        <v>532</v>
      </c>
      <c r="L227" s="19" t="s">
        <v>41</v>
      </c>
      <c r="M227" s="19"/>
      <c r="N227" s="19" t="s">
        <v>530</v>
      </c>
      <c r="O227" s="19"/>
    </row>
    <row r="228" spans="2:15" x14ac:dyDescent="0.3">
      <c r="B228" s="31" t="s">
        <v>54</v>
      </c>
      <c r="C228" s="32" t="s">
        <v>30</v>
      </c>
      <c r="D228" s="33" t="s">
        <v>55</v>
      </c>
      <c r="E228" s="33" t="s">
        <v>57</v>
      </c>
      <c r="F228" s="32" t="s">
        <v>58</v>
      </c>
      <c r="K228" s="30"/>
    </row>
    <row r="229" spans="2:15" ht="28.8" x14ac:dyDescent="0.3">
      <c r="B229" s="34" t="s">
        <v>413</v>
      </c>
      <c r="C229" s="35">
        <v>40</v>
      </c>
      <c r="D229" s="36">
        <f>C229/$C$241</f>
        <v>0.26666666666666666</v>
      </c>
      <c r="E229" s="37" t="s">
        <v>274</v>
      </c>
      <c r="F229" s="35" t="s">
        <v>431</v>
      </c>
      <c r="K229" s="31" t="s">
        <v>54</v>
      </c>
      <c r="L229" s="32" t="s">
        <v>30</v>
      </c>
      <c r="M229" s="33" t="s">
        <v>55</v>
      </c>
      <c r="N229" s="33" t="s">
        <v>57</v>
      </c>
      <c r="O229" s="32" t="s">
        <v>58</v>
      </c>
    </row>
    <row r="230" spans="2:15" ht="43.2" x14ac:dyDescent="0.3">
      <c r="B230" s="24" t="s">
        <v>414</v>
      </c>
      <c r="C230" s="22">
        <v>35</v>
      </c>
      <c r="D230" s="25">
        <f t="shared" ref="D230:D241" si="21">C230/$C$241</f>
        <v>0.23333333333333334</v>
      </c>
      <c r="E230" s="38" t="s">
        <v>275</v>
      </c>
      <c r="F230" s="22" t="s">
        <v>99</v>
      </c>
      <c r="K230" s="34" t="s">
        <v>413</v>
      </c>
      <c r="L230" s="35">
        <v>13</v>
      </c>
      <c r="M230" s="36">
        <f>L230/$C$241</f>
        <v>8.666666666666667E-2</v>
      </c>
      <c r="N230" s="37" t="s">
        <v>274</v>
      </c>
      <c r="O230" s="35" t="s">
        <v>431</v>
      </c>
    </row>
    <row r="231" spans="2:15" ht="28.8" x14ac:dyDescent="0.3">
      <c r="B231" s="34" t="s">
        <v>264</v>
      </c>
      <c r="C231" s="35">
        <v>15</v>
      </c>
      <c r="D231" s="36">
        <f t="shared" si="21"/>
        <v>0.1</v>
      </c>
      <c r="E231" s="37" t="s">
        <v>276</v>
      </c>
      <c r="F231" s="35" t="s">
        <v>61</v>
      </c>
      <c r="K231" s="24" t="s">
        <v>414</v>
      </c>
      <c r="L231" s="22">
        <v>8</v>
      </c>
      <c r="M231" s="25">
        <f t="shared" ref="M231:M242" si="22">L231/$C$241</f>
        <v>5.3333333333333337E-2</v>
      </c>
      <c r="N231" s="38" t="s">
        <v>275</v>
      </c>
      <c r="O231" s="22" t="s">
        <v>99</v>
      </c>
    </row>
    <row r="232" spans="2:15" ht="28.8" x14ac:dyDescent="0.3">
      <c r="B232" s="24" t="s">
        <v>265</v>
      </c>
      <c r="C232" s="22">
        <v>13</v>
      </c>
      <c r="D232" s="25">
        <f t="shared" si="21"/>
        <v>8.666666666666667E-2</v>
      </c>
      <c r="E232" s="38" t="s">
        <v>278</v>
      </c>
      <c r="F232" s="22" t="s">
        <v>33</v>
      </c>
      <c r="K232" s="34" t="s">
        <v>264</v>
      </c>
      <c r="L232" s="35">
        <v>9</v>
      </c>
      <c r="M232" s="36">
        <f t="shared" si="22"/>
        <v>0.06</v>
      </c>
      <c r="N232" s="37" t="s">
        <v>276</v>
      </c>
      <c r="O232" s="35" t="s">
        <v>61</v>
      </c>
    </row>
    <row r="233" spans="2:15" ht="28.8" x14ac:dyDescent="0.3">
      <c r="B233" s="34" t="s">
        <v>266</v>
      </c>
      <c r="C233" s="35">
        <v>12</v>
      </c>
      <c r="D233" s="36">
        <f t="shared" si="21"/>
        <v>0.08</v>
      </c>
      <c r="E233" s="37" t="s">
        <v>277</v>
      </c>
      <c r="F233" s="35" t="s">
        <v>433</v>
      </c>
      <c r="K233" s="24" t="s">
        <v>265</v>
      </c>
      <c r="L233" s="22">
        <v>12</v>
      </c>
      <c r="M233" s="25">
        <f t="shared" si="22"/>
        <v>0.08</v>
      </c>
      <c r="N233" s="38" t="s">
        <v>278</v>
      </c>
      <c r="O233" s="22" t="s">
        <v>33</v>
      </c>
    </row>
    <row r="234" spans="2:15" ht="28.8" x14ac:dyDescent="0.3">
      <c r="B234" s="24" t="s">
        <v>267</v>
      </c>
      <c r="C234" s="22">
        <v>12</v>
      </c>
      <c r="D234" s="25">
        <f t="shared" si="21"/>
        <v>0.08</v>
      </c>
      <c r="E234" s="38" t="s">
        <v>279</v>
      </c>
      <c r="F234" s="22" t="s">
        <v>431</v>
      </c>
      <c r="K234" s="34" t="s">
        <v>266</v>
      </c>
      <c r="L234" s="35">
        <v>9</v>
      </c>
      <c r="M234" s="36">
        <f t="shared" si="22"/>
        <v>0.06</v>
      </c>
      <c r="N234" s="37" t="s">
        <v>277</v>
      </c>
      <c r="O234" s="35" t="s">
        <v>433</v>
      </c>
    </row>
    <row r="235" spans="2:15" ht="28.8" x14ac:dyDescent="0.3">
      <c r="B235" s="34" t="s">
        <v>268</v>
      </c>
      <c r="C235" s="35">
        <v>5</v>
      </c>
      <c r="D235" s="36">
        <f t="shared" si="21"/>
        <v>3.3333333333333333E-2</v>
      </c>
      <c r="E235" s="37" t="s">
        <v>280</v>
      </c>
      <c r="F235" s="35" t="s">
        <v>167</v>
      </c>
      <c r="K235" s="24" t="s">
        <v>267</v>
      </c>
      <c r="L235" s="22">
        <v>10</v>
      </c>
      <c r="M235" s="25">
        <f t="shared" si="22"/>
        <v>6.6666666666666666E-2</v>
      </c>
      <c r="N235" s="38" t="s">
        <v>279</v>
      </c>
      <c r="O235" s="22" t="s">
        <v>431</v>
      </c>
    </row>
    <row r="236" spans="2:15" ht="28.8" x14ac:dyDescent="0.3">
      <c r="B236" s="24" t="s">
        <v>269</v>
      </c>
      <c r="C236" s="22">
        <v>4</v>
      </c>
      <c r="D236" s="25">
        <f t="shared" si="21"/>
        <v>2.6666666666666668E-2</v>
      </c>
      <c r="E236" s="38" t="s">
        <v>281</v>
      </c>
      <c r="F236" s="22" t="s">
        <v>432</v>
      </c>
      <c r="K236" s="34" t="s">
        <v>268</v>
      </c>
      <c r="L236" s="35">
        <v>3</v>
      </c>
      <c r="M236" s="36">
        <f t="shared" si="22"/>
        <v>0.02</v>
      </c>
      <c r="N236" s="37" t="s">
        <v>280</v>
      </c>
      <c r="O236" s="35" t="s">
        <v>167</v>
      </c>
    </row>
    <row r="237" spans="2:15" ht="28.8" x14ac:dyDescent="0.3">
      <c r="B237" s="34" t="s">
        <v>270</v>
      </c>
      <c r="C237" s="35">
        <v>3</v>
      </c>
      <c r="D237" s="36">
        <f t="shared" si="21"/>
        <v>0.02</v>
      </c>
      <c r="E237" s="37" t="s">
        <v>282</v>
      </c>
      <c r="F237" s="35" t="s">
        <v>61</v>
      </c>
      <c r="K237" s="24" t="s">
        <v>269</v>
      </c>
      <c r="L237" s="22">
        <v>4</v>
      </c>
      <c r="M237" s="25">
        <f t="shared" si="22"/>
        <v>2.6666666666666668E-2</v>
      </c>
      <c r="N237" s="38" t="s">
        <v>281</v>
      </c>
      <c r="O237" s="22" t="s">
        <v>432</v>
      </c>
    </row>
    <row r="238" spans="2:15" ht="43.2" x14ac:dyDescent="0.3">
      <c r="B238" s="24" t="s">
        <v>271</v>
      </c>
      <c r="C238" s="22">
        <v>2</v>
      </c>
      <c r="D238" s="25">
        <f t="shared" si="21"/>
        <v>1.3333333333333334E-2</v>
      </c>
      <c r="E238" s="38" t="s">
        <v>283</v>
      </c>
      <c r="F238" s="22" t="s">
        <v>61</v>
      </c>
      <c r="K238" s="34" t="s">
        <v>270</v>
      </c>
      <c r="L238" s="35">
        <v>2</v>
      </c>
      <c r="M238" s="36">
        <f t="shared" si="22"/>
        <v>1.3333333333333334E-2</v>
      </c>
      <c r="N238" s="37" t="s">
        <v>282</v>
      </c>
      <c r="O238" s="35" t="s">
        <v>61</v>
      </c>
    </row>
    <row r="239" spans="2:15" ht="28.8" x14ac:dyDescent="0.3">
      <c r="B239" s="34" t="s">
        <v>272</v>
      </c>
      <c r="C239" s="35">
        <v>1</v>
      </c>
      <c r="D239" s="36">
        <f t="shared" si="21"/>
        <v>6.6666666666666671E-3</v>
      </c>
      <c r="E239" s="37" t="s">
        <v>284</v>
      </c>
      <c r="F239" s="35" t="s">
        <v>61</v>
      </c>
      <c r="K239" s="24" t="s">
        <v>271</v>
      </c>
      <c r="L239" s="22">
        <v>2</v>
      </c>
      <c r="M239" s="25">
        <f t="shared" si="22"/>
        <v>1.3333333333333334E-2</v>
      </c>
      <c r="N239" s="38" t="s">
        <v>283</v>
      </c>
      <c r="O239" s="22" t="s">
        <v>61</v>
      </c>
    </row>
    <row r="240" spans="2:15" x14ac:dyDescent="0.3">
      <c r="B240" s="24" t="s">
        <v>44</v>
      </c>
      <c r="C240" s="22">
        <v>8</v>
      </c>
      <c r="D240" s="25">
        <f t="shared" si="21"/>
        <v>5.3333333333333337E-2</v>
      </c>
      <c r="E240" s="38"/>
      <c r="F240" s="22"/>
      <c r="K240" s="34" t="s">
        <v>272</v>
      </c>
      <c r="L240" s="35">
        <v>2</v>
      </c>
      <c r="M240" s="36">
        <f t="shared" si="22"/>
        <v>1.3333333333333334E-2</v>
      </c>
      <c r="N240" s="37" t="s">
        <v>284</v>
      </c>
      <c r="O240" s="35" t="s">
        <v>61</v>
      </c>
    </row>
    <row r="241" spans="2:15" x14ac:dyDescent="0.3">
      <c r="B241" s="39" t="s">
        <v>22</v>
      </c>
      <c r="C241" s="40">
        <f>SUM(C229:C240)</f>
        <v>150</v>
      </c>
      <c r="D241" s="42">
        <f t="shared" si="21"/>
        <v>1</v>
      </c>
      <c r="E241" s="41"/>
      <c r="F241" s="41"/>
      <c r="K241" s="24" t="s">
        <v>531</v>
      </c>
      <c r="L241" s="22">
        <v>1</v>
      </c>
      <c r="M241" s="25">
        <f t="shared" si="22"/>
        <v>6.6666666666666671E-3</v>
      </c>
      <c r="N241" s="38"/>
      <c r="O241" s="22"/>
    </row>
    <row r="242" spans="2:15" x14ac:dyDescent="0.3">
      <c r="K242" s="39" t="s">
        <v>22</v>
      </c>
      <c r="L242" s="40">
        <f>SUM(L230:L241)</f>
        <v>75</v>
      </c>
      <c r="M242" s="42">
        <f t="shared" si="22"/>
        <v>0.5</v>
      </c>
      <c r="N242" s="41"/>
      <c r="O242" s="41"/>
    </row>
    <row r="244" spans="2:15" ht="31.8" thickBot="1" x14ac:dyDescent="0.35">
      <c r="B244" s="61" t="s">
        <v>13</v>
      </c>
      <c r="C244" s="60" t="s">
        <v>285</v>
      </c>
    </row>
    <row r="245" spans="2:15" ht="18.600000000000001" thickBot="1" x14ac:dyDescent="0.35">
      <c r="B245" s="18" t="s">
        <v>172</v>
      </c>
      <c r="C245" s="19" t="s">
        <v>41</v>
      </c>
      <c r="D245" s="19"/>
      <c r="E245" s="19" t="s">
        <v>286</v>
      </c>
      <c r="F245" s="19"/>
      <c r="K245" s="222" t="s">
        <v>533</v>
      </c>
    </row>
    <row r="246" spans="2:15" x14ac:dyDescent="0.3">
      <c r="B246" s="30"/>
      <c r="K246" s="18"/>
      <c r="L246" s="19"/>
      <c r="M246" s="19"/>
      <c r="N246" s="19"/>
      <c r="O246" s="19"/>
    </row>
    <row r="247" spans="2:15" x14ac:dyDescent="0.3">
      <c r="B247" s="31" t="s">
        <v>54</v>
      </c>
      <c r="C247" s="32" t="s">
        <v>30</v>
      </c>
      <c r="D247" s="33" t="s">
        <v>55</v>
      </c>
      <c r="E247" s="33" t="s">
        <v>57</v>
      </c>
      <c r="F247" s="32" t="s">
        <v>58</v>
      </c>
      <c r="K247" s="30"/>
    </row>
    <row r="248" spans="2:15" x14ac:dyDescent="0.3">
      <c r="B248" s="34" t="s">
        <v>287</v>
      </c>
      <c r="C248" s="35">
        <v>89</v>
      </c>
      <c r="D248" s="36">
        <f>C248/$C$255</f>
        <v>0.38695652173913042</v>
      </c>
      <c r="E248" s="37" t="s">
        <v>290</v>
      </c>
      <c r="F248" s="35" t="s">
        <v>33</v>
      </c>
    </row>
    <row r="249" spans="2:15" x14ac:dyDescent="0.3">
      <c r="B249" s="24" t="s">
        <v>415</v>
      </c>
      <c r="C249" s="22">
        <v>86</v>
      </c>
      <c r="D249" s="25">
        <f t="shared" ref="D249:D255" si="23">C249/$C$255</f>
        <v>0.37391304347826088</v>
      </c>
      <c r="E249" s="38" t="s">
        <v>75</v>
      </c>
      <c r="F249" s="22" t="s">
        <v>99</v>
      </c>
    </row>
    <row r="250" spans="2:15" x14ac:dyDescent="0.3">
      <c r="B250" s="34" t="s">
        <v>416</v>
      </c>
      <c r="C250" s="35">
        <v>19</v>
      </c>
      <c r="D250" s="36">
        <f t="shared" si="23"/>
        <v>8.2608695652173908E-2</v>
      </c>
      <c r="E250" s="37" t="s">
        <v>295</v>
      </c>
      <c r="F250" s="35" t="s">
        <v>59</v>
      </c>
    </row>
    <row r="251" spans="2:15" x14ac:dyDescent="0.3">
      <c r="B251" s="24" t="s">
        <v>288</v>
      </c>
      <c r="C251" s="22">
        <v>18</v>
      </c>
      <c r="D251" s="25">
        <f t="shared" si="23"/>
        <v>7.8260869565217397E-2</v>
      </c>
      <c r="E251" s="38" t="s">
        <v>291</v>
      </c>
      <c r="F251" s="22" t="s">
        <v>33</v>
      </c>
    </row>
    <row r="252" spans="2:15" x14ac:dyDescent="0.3">
      <c r="B252" s="34" t="s">
        <v>417</v>
      </c>
      <c r="C252" s="35">
        <v>15</v>
      </c>
      <c r="D252" s="36">
        <f t="shared" si="23"/>
        <v>6.5217391304347824E-2</v>
      </c>
      <c r="E252" s="37" t="s">
        <v>292</v>
      </c>
      <c r="F252" s="35" t="s">
        <v>59</v>
      </c>
    </row>
    <row r="253" spans="2:15" x14ac:dyDescent="0.3">
      <c r="B253" s="24" t="s">
        <v>418</v>
      </c>
      <c r="C253" s="22">
        <v>2</v>
      </c>
      <c r="D253" s="25">
        <f t="shared" si="23"/>
        <v>8.6956521739130436E-3</v>
      </c>
      <c r="E253" s="38" t="s">
        <v>293</v>
      </c>
      <c r="F253" s="22" t="s">
        <v>432</v>
      </c>
    </row>
    <row r="254" spans="2:15" x14ac:dyDescent="0.3">
      <c r="B254" s="34" t="s">
        <v>289</v>
      </c>
      <c r="C254" s="35">
        <v>1</v>
      </c>
      <c r="D254" s="36">
        <f t="shared" si="23"/>
        <v>4.3478260869565218E-3</v>
      </c>
      <c r="E254" s="37" t="s">
        <v>294</v>
      </c>
      <c r="F254" s="35" t="s">
        <v>61</v>
      </c>
    </row>
    <row r="255" spans="2:15" x14ac:dyDescent="0.3">
      <c r="B255" s="39" t="s">
        <v>22</v>
      </c>
      <c r="C255" s="40">
        <f>SUM(C248:C254)</f>
        <v>230</v>
      </c>
      <c r="D255" s="42">
        <f t="shared" si="23"/>
        <v>1</v>
      </c>
      <c r="E255" s="41"/>
      <c r="F255" s="41"/>
    </row>
    <row r="258" spans="2:15" ht="47.4" thickBot="1" x14ac:dyDescent="0.35">
      <c r="B258" s="61" t="s">
        <v>16</v>
      </c>
      <c r="C258" s="60" t="s">
        <v>296</v>
      </c>
    </row>
    <row r="259" spans="2:15" ht="18.600000000000001" thickBot="1" x14ac:dyDescent="0.35">
      <c r="B259" s="18" t="s">
        <v>174</v>
      </c>
      <c r="C259" s="19" t="s">
        <v>41</v>
      </c>
      <c r="D259" s="19"/>
      <c r="E259" s="19" t="s">
        <v>310</v>
      </c>
      <c r="F259" s="19"/>
      <c r="K259" s="222" t="s">
        <v>534</v>
      </c>
    </row>
    <row r="260" spans="2:15" x14ac:dyDescent="0.3">
      <c r="B260" s="30"/>
      <c r="K260" s="18"/>
      <c r="L260" s="19"/>
      <c r="M260" s="19"/>
      <c r="N260" s="19"/>
      <c r="O260" s="19"/>
    </row>
    <row r="261" spans="2:15" x14ac:dyDescent="0.3">
      <c r="B261" s="31" t="s">
        <v>54</v>
      </c>
      <c r="C261" s="32" t="s">
        <v>30</v>
      </c>
      <c r="D261" s="33" t="s">
        <v>55</v>
      </c>
      <c r="E261" s="33" t="s">
        <v>57</v>
      </c>
      <c r="F261" s="32" t="s">
        <v>58</v>
      </c>
      <c r="K261" s="30"/>
    </row>
    <row r="262" spans="2:15" x14ac:dyDescent="0.3">
      <c r="B262" s="34" t="s">
        <v>419</v>
      </c>
      <c r="C262" s="35">
        <v>49</v>
      </c>
      <c r="D262" s="36">
        <f>C262/$C$270</f>
        <v>0.32666666666666666</v>
      </c>
      <c r="E262" s="37" t="s">
        <v>301</v>
      </c>
      <c r="F262" s="35" t="s">
        <v>99</v>
      </c>
    </row>
    <row r="263" spans="2:15" x14ac:dyDescent="0.3">
      <c r="B263" s="24" t="s">
        <v>297</v>
      </c>
      <c r="C263" s="22">
        <v>21</v>
      </c>
      <c r="D263" s="25">
        <f t="shared" ref="D263:D270" si="24">C263/$C$270</f>
        <v>0.14000000000000001</v>
      </c>
      <c r="E263" s="38" t="s">
        <v>302</v>
      </c>
      <c r="F263" s="22" t="s">
        <v>167</v>
      </c>
    </row>
    <row r="264" spans="2:15" ht="28.8" x14ac:dyDescent="0.3">
      <c r="B264" s="34" t="s">
        <v>298</v>
      </c>
      <c r="C264" s="35">
        <v>19</v>
      </c>
      <c r="D264" s="36">
        <f t="shared" si="24"/>
        <v>0.12666666666666668</v>
      </c>
      <c r="E264" s="37" t="s">
        <v>303</v>
      </c>
      <c r="F264" s="35" t="s">
        <v>167</v>
      </c>
    </row>
    <row r="265" spans="2:15" x14ac:dyDescent="0.3">
      <c r="B265" s="24" t="s">
        <v>420</v>
      </c>
      <c r="C265" s="22">
        <v>15</v>
      </c>
      <c r="D265" s="25">
        <f t="shared" si="24"/>
        <v>0.1</v>
      </c>
      <c r="E265" s="38" t="s">
        <v>306</v>
      </c>
      <c r="F265" s="22" t="s">
        <v>211</v>
      </c>
    </row>
    <row r="266" spans="2:15" ht="28.8" x14ac:dyDescent="0.3">
      <c r="B266" s="34" t="s">
        <v>299</v>
      </c>
      <c r="C266" s="35">
        <v>14</v>
      </c>
      <c r="D266" s="36">
        <f t="shared" si="24"/>
        <v>9.3333333333333338E-2</v>
      </c>
      <c r="E266" s="37" t="s">
        <v>304</v>
      </c>
      <c r="F266" s="35" t="s">
        <v>434</v>
      </c>
    </row>
    <row r="267" spans="2:15" ht="28.8" x14ac:dyDescent="0.3">
      <c r="B267" s="24" t="s">
        <v>421</v>
      </c>
      <c r="C267" s="22">
        <v>11</v>
      </c>
      <c r="D267" s="25">
        <f t="shared" si="24"/>
        <v>7.3333333333333334E-2</v>
      </c>
      <c r="E267" s="38" t="s">
        <v>305</v>
      </c>
      <c r="F267" s="22" t="s">
        <v>61</v>
      </c>
    </row>
    <row r="268" spans="2:15" x14ac:dyDescent="0.3">
      <c r="B268" s="34" t="s">
        <v>300</v>
      </c>
      <c r="C268" s="35">
        <v>11</v>
      </c>
      <c r="D268" s="36">
        <f t="shared" si="24"/>
        <v>7.3333333333333334E-2</v>
      </c>
      <c r="E268" s="37" t="s">
        <v>307</v>
      </c>
      <c r="F268" s="35" t="s">
        <v>61</v>
      </c>
    </row>
    <row r="269" spans="2:15" x14ac:dyDescent="0.3">
      <c r="B269" s="24" t="s">
        <v>422</v>
      </c>
      <c r="C269" s="22">
        <v>10</v>
      </c>
      <c r="D269" s="25">
        <f t="shared" si="24"/>
        <v>6.6666666666666666E-2</v>
      </c>
      <c r="E269" s="38" t="s">
        <v>308</v>
      </c>
      <c r="F269" s="22" t="s">
        <v>61</v>
      </c>
    </row>
    <row r="270" spans="2:15" x14ac:dyDescent="0.3">
      <c r="B270" s="39" t="s">
        <v>22</v>
      </c>
      <c r="C270" s="40">
        <f>SUM(C262:C269)</f>
        <v>150</v>
      </c>
      <c r="D270" s="42">
        <f t="shared" si="24"/>
        <v>1</v>
      </c>
      <c r="E270" s="41"/>
      <c r="F270" s="41"/>
    </row>
    <row r="273" spans="2:15" ht="18.600000000000001" thickBot="1" x14ac:dyDescent="0.35">
      <c r="B273" s="61" t="s">
        <v>21</v>
      </c>
      <c r="C273" s="60" t="s">
        <v>324</v>
      </c>
    </row>
    <row r="274" spans="2:15" ht="46.05" customHeight="1" thickBot="1" x14ac:dyDescent="0.35">
      <c r="B274" s="18" t="s">
        <v>309</v>
      </c>
      <c r="C274" s="19" t="s">
        <v>41</v>
      </c>
      <c r="D274" s="19"/>
      <c r="E274" s="19" t="s">
        <v>315</v>
      </c>
      <c r="F274" s="19"/>
      <c r="K274" s="61" t="s">
        <v>21</v>
      </c>
      <c r="L274" s="60" t="s">
        <v>535</v>
      </c>
      <c r="N274" s="400" t="s">
        <v>536</v>
      </c>
      <c r="O274" s="400"/>
    </row>
    <row r="275" spans="2:15" x14ac:dyDescent="0.3">
      <c r="B275" s="30"/>
      <c r="K275" s="18" t="s">
        <v>309</v>
      </c>
      <c r="L275" s="19" t="s">
        <v>43</v>
      </c>
      <c r="M275" s="19"/>
      <c r="N275" s="19" t="s">
        <v>315</v>
      </c>
      <c r="O275" s="19"/>
    </row>
    <row r="276" spans="2:15" x14ac:dyDescent="0.3">
      <c r="B276" s="31" t="s">
        <v>54</v>
      </c>
      <c r="C276" s="32" t="s">
        <v>30</v>
      </c>
      <c r="D276" s="33" t="s">
        <v>55</v>
      </c>
      <c r="E276" s="33" t="s">
        <v>57</v>
      </c>
      <c r="F276" s="32" t="s">
        <v>58</v>
      </c>
    </row>
    <row r="277" spans="2:15" x14ac:dyDescent="0.3">
      <c r="B277" s="34" t="s">
        <v>423</v>
      </c>
      <c r="C277" s="35">
        <v>36</v>
      </c>
      <c r="D277" s="36">
        <f>C277/$C$285</f>
        <v>0.4</v>
      </c>
      <c r="E277" s="37" t="s">
        <v>316</v>
      </c>
      <c r="F277" s="35" t="s">
        <v>431</v>
      </c>
      <c r="K277" s="17" t="s">
        <v>537</v>
      </c>
    </row>
    <row r="278" spans="2:15" ht="28.8" x14ac:dyDescent="0.3">
      <c r="B278" s="24" t="s">
        <v>311</v>
      </c>
      <c r="C278" s="22">
        <v>21</v>
      </c>
      <c r="D278" s="25">
        <f t="shared" ref="D278:D285" si="25">C278/$C$285</f>
        <v>0.23333333333333334</v>
      </c>
      <c r="E278" s="38" t="s">
        <v>317</v>
      </c>
      <c r="F278" s="22" t="s">
        <v>33</v>
      </c>
    </row>
    <row r="279" spans="2:15" x14ac:dyDescent="0.3">
      <c r="B279" s="34" t="s">
        <v>424</v>
      </c>
      <c r="C279" s="35">
        <v>10</v>
      </c>
      <c r="D279" s="36">
        <f t="shared" si="25"/>
        <v>0.1111111111111111</v>
      </c>
      <c r="E279" s="37" t="s">
        <v>318</v>
      </c>
      <c r="F279" s="35" t="s">
        <v>53</v>
      </c>
    </row>
    <row r="280" spans="2:15" x14ac:dyDescent="0.3">
      <c r="B280" s="24" t="s">
        <v>425</v>
      </c>
      <c r="C280" s="22">
        <v>6</v>
      </c>
      <c r="D280" s="25">
        <f t="shared" si="25"/>
        <v>6.6666666666666666E-2</v>
      </c>
      <c r="E280" s="38" t="s">
        <v>319</v>
      </c>
      <c r="F280" s="22" t="s">
        <v>99</v>
      </c>
    </row>
    <row r="281" spans="2:15" x14ac:dyDescent="0.3">
      <c r="B281" s="34" t="s">
        <v>312</v>
      </c>
      <c r="C281" s="35">
        <v>6</v>
      </c>
      <c r="D281" s="36">
        <f t="shared" si="25"/>
        <v>6.6666666666666666E-2</v>
      </c>
      <c r="E281" s="37" t="s">
        <v>320</v>
      </c>
      <c r="F281" s="35" t="s">
        <v>59</v>
      </c>
    </row>
    <row r="282" spans="2:15" x14ac:dyDescent="0.3">
      <c r="B282" s="24" t="s">
        <v>313</v>
      </c>
      <c r="C282" s="22">
        <v>5</v>
      </c>
      <c r="D282" s="25">
        <f t="shared" si="25"/>
        <v>5.5555555555555552E-2</v>
      </c>
      <c r="E282" s="38" t="s">
        <v>321</v>
      </c>
      <c r="F282" s="22" t="s">
        <v>33</v>
      </c>
    </row>
    <row r="283" spans="2:15" x14ac:dyDescent="0.3">
      <c r="B283" s="34" t="s">
        <v>322</v>
      </c>
      <c r="C283" s="35">
        <v>4</v>
      </c>
      <c r="D283" s="36">
        <f t="shared" si="25"/>
        <v>4.4444444444444446E-2</v>
      </c>
      <c r="E283" s="34" t="s">
        <v>323</v>
      </c>
      <c r="F283" s="35" t="s">
        <v>61</v>
      </c>
    </row>
    <row r="284" spans="2:15" x14ac:dyDescent="0.3">
      <c r="B284" s="24" t="s">
        <v>314</v>
      </c>
      <c r="C284" s="22">
        <v>2</v>
      </c>
      <c r="D284" s="25">
        <f t="shared" si="25"/>
        <v>2.2222222222222223E-2</v>
      </c>
      <c r="E284" s="38"/>
      <c r="F284" s="22" t="s">
        <v>61</v>
      </c>
    </row>
    <row r="285" spans="2:15" x14ac:dyDescent="0.3">
      <c r="B285" s="39" t="s">
        <v>22</v>
      </c>
      <c r="C285" s="40">
        <f>SUM(C277:C284)</f>
        <v>90</v>
      </c>
      <c r="D285" s="42">
        <f t="shared" si="25"/>
        <v>1</v>
      </c>
      <c r="E285" s="41"/>
      <c r="F285" s="41"/>
    </row>
  </sheetData>
  <sortState ref="B112:C119">
    <sortCondition ref="B111"/>
  </sortState>
  <mergeCells count="5">
    <mergeCell ref="A1:D1"/>
    <mergeCell ref="N139:O139"/>
    <mergeCell ref="N274:O274"/>
    <mergeCell ref="B3:F3"/>
    <mergeCell ref="K3:O3"/>
  </mergeCells>
  <hyperlinks>
    <hyperlink ref="E19" r:id="rId1"/>
    <hyperlink ref="N20" r:id="rId2"/>
  </hyperlinks>
  <pageMargins left="0.75" right="0.75" top="1" bottom="1" header="0.5" footer="0.5"/>
  <pageSetup paperSize="9" orientation="portrait" horizontalDpi="4294967292" verticalDpi="4294967292"/>
  <tableParts count="2">
    <tablePart r:id="rId3"/>
    <tablePart r:id="rId4"/>
  </tablePart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59999389629810485"/>
  </sheetPr>
  <dimension ref="A1:L359"/>
  <sheetViews>
    <sheetView showGridLines="0" zoomScale="90" zoomScaleNormal="90" zoomScalePageLayoutView="90" workbookViewId="0">
      <selection activeCell="A2" sqref="A2"/>
    </sheetView>
  </sheetViews>
  <sheetFormatPr baseColWidth="10" defaultColWidth="11" defaultRowHeight="15.6" x14ac:dyDescent="0.3"/>
  <cols>
    <col min="1" max="1" width="3.69921875" customWidth="1"/>
    <col min="2" max="2" width="12.19921875" customWidth="1"/>
    <col min="3" max="3" width="12.69921875" customWidth="1"/>
    <col min="4" max="4" width="13" customWidth="1"/>
    <col min="5" max="6" width="16.19921875" customWidth="1"/>
  </cols>
  <sheetData>
    <row r="1" spans="1:7" ht="23.4" x14ac:dyDescent="0.45">
      <c r="A1" s="399" t="s">
        <v>325</v>
      </c>
      <c r="B1" s="399"/>
      <c r="C1" s="399"/>
      <c r="D1" s="399"/>
      <c r="E1" s="399"/>
      <c r="F1" s="399"/>
    </row>
    <row r="2" spans="1:7" x14ac:dyDescent="0.3">
      <c r="B2" s="143"/>
    </row>
    <row r="5" spans="1:7" ht="18.600000000000001" thickBot="1" x14ac:dyDescent="0.35">
      <c r="B5" s="76" t="s">
        <v>3</v>
      </c>
      <c r="C5" s="77"/>
      <c r="D5" s="77"/>
      <c r="E5" s="77"/>
      <c r="F5" s="77"/>
      <c r="G5" s="77"/>
    </row>
    <row r="7" spans="1:7" x14ac:dyDescent="0.3">
      <c r="B7" s="408" t="s">
        <v>436</v>
      </c>
      <c r="C7" s="408"/>
      <c r="D7" s="62">
        <f>'Infos zone€'!G5</f>
        <v>24</v>
      </c>
    </row>
    <row r="8" spans="1:7" x14ac:dyDescent="0.3">
      <c r="B8" s="408" t="s">
        <v>330</v>
      </c>
      <c r="C8" s="408"/>
      <c r="D8">
        <v>630</v>
      </c>
    </row>
    <row r="9" spans="1:7" x14ac:dyDescent="0.3">
      <c r="B9" s="405" t="s">
        <v>438</v>
      </c>
      <c r="C9" s="405"/>
      <c r="D9" s="63">
        <f>D8/D7</f>
        <v>26.25</v>
      </c>
    </row>
    <row r="11" spans="1:7" ht="30" customHeight="1" x14ac:dyDescent="0.3">
      <c r="B11" s="31" t="s">
        <v>327</v>
      </c>
      <c r="C11" s="32" t="s">
        <v>331</v>
      </c>
      <c r="D11" s="32" t="s">
        <v>439</v>
      </c>
      <c r="E11" s="406">
        <f>C17</f>
        <v>2</v>
      </c>
      <c r="F11" s="407"/>
      <c r="G11" s="67" t="s">
        <v>332</v>
      </c>
    </row>
    <row r="12" spans="1:7" x14ac:dyDescent="0.3">
      <c r="B12" s="9" t="s">
        <v>328</v>
      </c>
      <c r="C12" s="10">
        <v>310</v>
      </c>
      <c r="D12" s="68">
        <f>TRUNC(C12/$D$9)</f>
        <v>11</v>
      </c>
      <c r="E12" s="109">
        <f>$C12/(D12+1)</f>
        <v>25.833333333333332</v>
      </c>
      <c r="F12" s="109">
        <f>$C12/(D12+1+1)</f>
        <v>23.846153846153847</v>
      </c>
      <c r="G12" s="72">
        <v>12</v>
      </c>
    </row>
    <row r="13" spans="1:7" x14ac:dyDescent="0.3">
      <c r="B13" s="65" t="s">
        <v>31</v>
      </c>
      <c r="C13" s="13">
        <v>193</v>
      </c>
      <c r="D13" s="8">
        <f t="shared" ref="D13:D15" si="0">TRUNC(C13/$D$9)</f>
        <v>7</v>
      </c>
      <c r="E13" s="116">
        <f>$C13/(D13+1)</f>
        <v>24.125</v>
      </c>
      <c r="F13" s="116">
        <f>$C13/(D13+1)</f>
        <v>24.125</v>
      </c>
      <c r="G13" s="73">
        <v>8</v>
      </c>
    </row>
    <row r="14" spans="1:7" x14ac:dyDescent="0.3">
      <c r="B14" s="9" t="s">
        <v>34</v>
      </c>
      <c r="C14" s="10">
        <v>64</v>
      </c>
      <c r="D14" s="68">
        <f t="shared" si="0"/>
        <v>2</v>
      </c>
      <c r="E14" s="109">
        <f>$C14/(D14+1)</f>
        <v>21.333333333333332</v>
      </c>
      <c r="F14" s="109">
        <f>$C14/(D14+1)</f>
        <v>21.333333333333332</v>
      </c>
      <c r="G14" s="72">
        <v>2</v>
      </c>
    </row>
    <row r="15" spans="1:7" ht="31.2" x14ac:dyDescent="0.3">
      <c r="B15" s="66" t="s">
        <v>437</v>
      </c>
      <c r="C15" s="64">
        <v>63</v>
      </c>
      <c r="D15" s="69">
        <f t="shared" si="0"/>
        <v>2</v>
      </c>
      <c r="E15" s="69">
        <f>$C15/(D15+1)</f>
        <v>21</v>
      </c>
      <c r="F15" s="69">
        <f>C15/(D15+1)</f>
        <v>21</v>
      </c>
      <c r="G15" s="74">
        <v>2</v>
      </c>
    </row>
    <row r="16" spans="1:7" x14ac:dyDescent="0.3">
      <c r="C16" s="401">
        <f>SUM(D12:D15)</f>
        <v>22</v>
      </c>
      <c r="D16" s="401"/>
      <c r="G16" s="75">
        <f>SUM(G12:G15)</f>
        <v>24</v>
      </c>
    </row>
    <row r="17" spans="2:8" x14ac:dyDescent="0.3">
      <c r="C17" s="404">
        <f>D7-C16</f>
        <v>2</v>
      </c>
      <c r="D17" s="404"/>
    </row>
    <row r="20" spans="2:8" ht="18.600000000000001" thickBot="1" x14ac:dyDescent="0.35">
      <c r="B20" s="76" t="s">
        <v>4</v>
      </c>
      <c r="C20" s="77"/>
      <c r="D20" s="77"/>
      <c r="E20" s="77"/>
      <c r="F20" s="77"/>
    </row>
    <row r="22" spans="2:8" x14ac:dyDescent="0.3">
      <c r="B22" s="408" t="s">
        <v>436</v>
      </c>
      <c r="C22" s="408"/>
      <c r="D22" s="62">
        <f>'Infos zone€'!G6</f>
        <v>3</v>
      </c>
    </row>
    <row r="23" spans="2:8" x14ac:dyDescent="0.3">
      <c r="B23" s="408" t="s">
        <v>330</v>
      </c>
      <c r="C23" s="408"/>
      <c r="D23">
        <v>183</v>
      </c>
    </row>
    <row r="24" spans="2:8" x14ac:dyDescent="0.3">
      <c r="B24" s="405" t="s">
        <v>438</v>
      </c>
      <c r="C24" s="405"/>
      <c r="D24" s="63">
        <f>D23/D22</f>
        <v>61</v>
      </c>
    </row>
    <row r="26" spans="2:8" ht="28.8" x14ac:dyDescent="0.3">
      <c r="B26" s="31" t="s">
        <v>327</v>
      </c>
      <c r="C26" s="32" t="s">
        <v>331</v>
      </c>
      <c r="D26" s="32" t="s">
        <v>439</v>
      </c>
      <c r="E26" s="402">
        <f>C35</f>
        <v>3</v>
      </c>
      <c r="F26" s="402"/>
      <c r="G26" s="402"/>
      <c r="H26" s="67" t="s">
        <v>332</v>
      </c>
    </row>
    <row r="27" spans="2:8" x14ac:dyDescent="0.3">
      <c r="B27" s="84" t="s">
        <v>333</v>
      </c>
      <c r="C27" s="82">
        <v>52</v>
      </c>
      <c r="D27" s="82">
        <f>TRUNC(C27/$D$24)</f>
        <v>0</v>
      </c>
      <c r="E27" s="122">
        <f>C27/(D27+1)</f>
        <v>52</v>
      </c>
      <c r="F27" s="122">
        <f>C27/(D27+1+1)</f>
        <v>26</v>
      </c>
      <c r="G27" s="122">
        <f>F27</f>
        <v>26</v>
      </c>
      <c r="H27" s="182">
        <v>1</v>
      </c>
    </row>
    <row r="28" spans="2:8" x14ac:dyDescent="0.3">
      <c r="B28" s="78" t="s">
        <v>62</v>
      </c>
      <c r="C28" s="16">
        <v>50</v>
      </c>
      <c r="D28" s="16">
        <f t="shared" ref="D28:D33" si="1">TRUNC(C28/$D$24)</f>
        <v>0</v>
      </c>
      <c r="E28" s="141">
        <f t="shared" ref="E28:E33" si="2">C28/(D28+1)</f>
        <v>50</v>
      </c>
      <c r="F28" s="141">
        <f>E28</f>
        <v>50</v>
      </c>
      <c r="G28" s="141">
        <f>C28/(D28+1+1)</f>
        <v>25</v>
      </c>
      <c r="H28" s="94">
        <v>1</v>
      </c>
    </row>
    <row r="29" spans="2:8" x14ac:dyDescent="0.3">
      <c r="B29" s="84" t="s">
        <v>40</v>
      </c>
      <c r="C29" s="82">
        <v>38</v>
      </c>
      <c r="D29" s="82">
        <f t="shared" si="1"/>
        <v>0</v>
      </c>
      <c r="E29" s="122">
        <f t="shared" si="2"/>
        <v>38</v>
      </c>
      <c r="F29" s="122">
        <f t="shared" ref="F29:G33" si="3">E29</f>
        <v>38</v>
      </c>
      <c r="G29" s="122">
        <f>F29</f>
        <v>38</v>
      </c>
      <c r="H29" s="96">
        <v>1</v>
      </c>
    </row>
    <row r="30" spans="2:8" x14ac:dyDescent="0.3">
      <c r="B30" s="78" t="s">
        <v>441</v>
      </c>
      <c r="C30" s="16">
        <v>24</v>
      </c>
      <c r="D30" s="16">
        <f t="shared" si="1"/>
        <v>0</v>
      </c>
      <c r="E30" s="141">
        <f t="shared" si="2"/>
        <v>24</v>
      </c>
      <c r="F30" s="141">
        <f t="shared" si="3"/>
        <v>24</v>
      </c>
      <c r="G30" s="141">
        <f t="shared" si="3"/>
        <v>24</v>
      </c>
      <c r="H30" s="88">
        <v>0</v>
      </c>
    </row>
    <row r="31" spans="2:8" x14ac:dyDescent="0.3">
      <c r="B31" s="11" t="s">
        <v>39</v>
      </c>
      <c r="C31" s="82">
        <v>6</v>
      </c>
      <c r="D31" s="82">
        <f t="shared" si="1"/>
        <v>0</v>
      </c>
      <c r="E31" s="122">
        <f t="shared" si="2"/>
        <v>6</v>
      </c>
      <c r="F31" s="122">
        <f t="shared" si="3"/>
        <v>6</v>
      </c>
      <c r="G31" s="122">
        <f t="shared" si="3"/>
        <v>6</v>
      </c>
      <c r="H31" s="89">
        <v>0</v>
      </c>
    </row>
    <row r="32" spans="2:8" x14ac:dyDescent="0.3">
      <c r="B32" s="12" t="s">
        <v>38</v>
      </c>
      <c r="C32" s="16">
        <v>9</v>
      </c>
      <c r="D32" s="16">
        <f t="shared" si="1"/>
        <v>0</v>
      </c>
      <c r="E32" s="141">
        <f t="shared" si="2"/>
        <v>9</v>
      </c>
      <c r="F32" s="141">
        <f t="shared" si="3"/>
        <v>9</v>
      </c>
      <c r="G32" s="141">
        <f t="shared" si="3"/>
        <v>9</v>
      </c>
      <c r="H32" s="88">
        <v>0</v>
      </c>
    </row>
    <row r="33" spans="2:10" x14ac:dyDescent="0.3">
      <c r="B33" s="85" t="s">
        <v>44</v>
      </c>
      <c r="C33" s="90">
        <v>4</v>
      </c>
      <c r="D33" s="90">
        <f t="shared" si="1"/>
        <v>0</v>
      </c>
      <c r="E33" s="142">
        <f t="shared" si="2"/>
        <v>4</v>
      </c>
      <c r="F33" s="142">
        <f t="shared" si="3"/>
        <v>4</v>
      </c>
      <c r="G33" s="142">
        <f t="shared" si="3"/>
        <v>4</v>
      </c>
      <c r="H33" s="91">
        <v>0</v>
      </c>
    </row>
    <row r="34" spans="2:10" x14ac:dyDescent="0.3">
      <c r="C34" s="409">
        <v>0</v>
      </c>
      <c r="D34" s="409"/>
      <c r="G34" s="62"/>
      <c r="H34" s="75">
        <f>SUM(H27:H33)</f>
        <v>3</v>
      </c>
    </row>
    <row r="35" spans="2:10" x14ac:dyDescent="0.3">
      <c r="C35" s="404">
        <f>D22-C34</f>
        <v>3</v>
      </c>
      <c r="D35" s="404"/>
      <c r="G35" s="62"/>
      <c r="J35" s="1"/>
    </row>
    <row r="38" spans="2:10" ht="18.600000000000001" thickBot="1" x14ac:dyDescent="0.35">
      <c r="B38" s="76" t="s">
        <v>5</v>
      </c>
      <c r="C38" s="77"/>
      <c r="D38" s="77"/>
      <c r="E38" s="77"/>
      <c r="F38" s="77"/>
    </row>
    <row r="40" spans="2:10" x14ac:dyDescent="0.3">
      <c r="B40" s="408" t="s">
        <v>436</v>
      </c>
      <c r="C40" s="408"/>
      <c r="D40" s="62">
        <f>'Infos zone€'!G7</f>
        <v>3</v>
      </c>
    </row>
    <row r="41" spans="2:10" x14ac:dyDescent="0.3">
      <c r="B41" s="408" t="s">
        <v>330</v>
      </c>
      <c r="C41" s="408"/>
      <c r="D41">
        <v>150</v>
      </c>
    </row>
    <row r="42" spans="2:10" x14ac:dyDescent="0.3">
      <c r="B42" s="405" t="s">
        <v>438</v>
      </c>
      <c r="C42" s="405"/>
      <c r="D42" s="63">
        <f>D41/D40</f>
        <v>50</v>
      </c>
    </row>
    <row r="44" spans="2:10" ht="28.8" x14ac:dyDescent="0.3">
      <c r="B44" s="31" t="s">
        <v>327</v>
      </c>
      <c r="C44" s="32" t="s">
        <v>331</v>
      </c>
      <c r="D44" s="32" t="s">
        <v>439</v>
      </c>
      <c r="E44" s="402">
        <f>C53</f>
        <v>3</v>
      </c>
      <c r="F44" s="402"/>
      <c r="G44" s="402"/>
      <c r="H44" s="67" t="s">
        <v>332</v>
      </c>
    </row>
    <row r="45" spans="2:10" x14ac:dyDescent="0.3">
      <c r="B45" s="84" t="s">
        <v>89</v>
      </c>
      <c r="C45" s="82">
        <v>31</v>
      </c>
      <c r="D45" s="82">
        <f>TRUNC(C45/$D$42)</f>
        <v>0</v>
      </c>
      <c r="E45" s="115">
        <f>C45/(D45+1)</f>
        <v>31</v>
      </c>
      <c r="F45" s="115">
        <f>C45/(D45+1+1)</f>
        <v>15.5</v>
      </c>
      <c r="G45" s="115">
        <f>F45</f>
        <v>15.5</v>
      </c>
      <c r="H45" s="182">
        <v>1</v>
      </c>
    </row>
    <row r="46" spans="2:10" x14ac:dyDescent="0.3">
      <c r="B46" s="78" t="s">
        <v>66</v>
      </c>
      <c r="C46" s="16">
        <v>23</v>
      </c>
      <c r="D46" s="16">
        <f t="shared" ref="D46:D57" si="4">TRUNC(C46/$D$42)</f>
        <v>0</v>
      </c>
      <c r="E46" s="16">
        <f t="shared" ref="E46:E57" si="5">C46/(D46+1)</f>
        <v>23</v>
      </c>
      <c r="F46" s="16">
        <f>E46</f>
        <v>23</v>
      </c>
      <c r="G46" s="16">
        <f>C46/(D46+1+1)</f>
        <v>11.5</v>
      </c>
      <c r="H46" s="94">
        <v>1</v>
      </c>
    </row>
    <row r="47" spans="2:10" x14ac:dyDescent="0.3">
      <c r="B47" s="84" t="s">
        <v>334</v>
      </c>
      <c r="C47" s="82">
        <v>20</v>
      </c>
      <c r="D47" s="82">
        <f t="shared" si="4"/>
        <v>0</v>
      </c>
      <c r="E47" s="82">
        <f t="shared" si="5"/>
        <v>20</v>
      </c>
      <c r="F47" s="82">
        <f t="shared" ref="F47:G57" si="6">E47</f>
        <v>20</v>
      </c>
      <c r="G47" s="82">
        <f>F47</f>
        <v>20</v>
      </c>
      <c r="H47" s="96">
        <v>1</v>
      </c>
    </row>
    <row r="48" spans="2:10" x14ac:dyDescent="0.3">
      <c r="B48" s="78" t="s">
        <v>335</v>
      </c>
      <c r="C48" s="16">
        <v>18</v>
      </c>
      <c r="D48" s="16">
        <f t="shared" si="4"/>
        <v>0</v>
      </c>
      <c r="E48" s="16">
        <f t="shared" si="5"/>
        <v>18</v>
      </c>
      <c r="F48" s="16">
        <f t="shared" si="6"/>
        <v>18</v>
      </c>
      <c r="G48" s="16">
        <f t="shared" si="6"/>
        <v>18</v>
      </c>
      <c r="H48" s="88">
        <v>0</v>
      </c>
    </row>
    <row r="49" spans="2:9" x14ac:dyDescent="0.3">
      <c r="B49" s="11" t="s">
        <v>336</v>
      </c>
      <c r="C49" s="82">
        <v>14</v>
      </c>
      <c r="D49" s="82">
        <f t="shared" si="4"/>
        <v>0</v>
      </c>
      <c r="E49" s="82">
        <f t="shared" si="5"/>
        <v>14</v>
      </c>
      <c r="F49" s="82">
        <f t="shared" si="6"/>
        <v>14</v>
      </c>
      <c r="G49" s="82">
        <f t="shared" si="6"/>
        <v>14</v>
      </c>
      <c r="H49" s="89">
        <v>0</v>
      </c>
    </row>
    <row r="50" spans="2:9" x14ac:dyDescent="0.3">
      <c r="B50" s="12" t="s">
        <v>67</v>
      </c>
      <c r="C50" s="16">
        <v>13</v>
      </c>
      <c r="D50" s="16">
        <f t="shared" si="4"/>
        <v>0</v>
      </c>
      <c r="E50" s="16">
        <f t="shared" si="5"/>
        <v>13</v>
      </c>
      <c r="F50" s="16">
        <f t="shared" si="6"/>
        <v>13</v>
      </c>
      <c r="G50" s="16">
        <f t="shared" si="6"/>
        <v>13</v>
      </c>
      <c r="H50" s="88">
        <v>0</v>
      </c>
    </row>
    <row r="51" spans="2:9" x14ac:dyDescent="0.3">
      <c r="B51" s="84" t="s">
        <v>68</v>
      </c>
      <c r="C51" s="82">
        <v>12</v>
      </c>
      <c r="D51" s="82">
        <f t="shared" si="4"/>
        <v>0</v>
      </c>
      <c r="E51" s="82">
        <f t="shared" si="5"/>
        <v>12</v>
      </c>
      <c r="F51" s="82">
        <f t="shared" si="6"/>
        <v>12</v>
      </c>
      <c r="G51" s="82">
        <f t="shared" si="6"/>
        <v>12</v>
      </c>
      <c r="H51" s="89">
        <v>0</v>
      </c>
    </row>
    <row r="52" spans="2:9" x14ac:dyDescent="0.3">
      <c r="B52" s="78" t="s">
        <v>69</v>
      </c>
      <c r="C52" s="16">
        <v>9</v>
      </c>
      <c r="D52" s="16">
        <f t="shared" si="4"/>
        <v>0</v>
      </c>
      <c r="E52" s="16">
        <f t="shared" si="5"/>
        <v>9</v>
      </c>
      <c r="F52" s="16">
        <f t="shared" si="6"/>
        <v>9</v>
      </c>
      <c r="G52" s="16">
        <f t="shared" si="6"/>
        <v>9</v>
      </c>
      <c r="H52" s="88">
        <v>0</v>
      </c>
    </row>
    <row r="53" spans="2:9" x14ac:dyDescent="0.3">
      <c r="B53" s="84" t="s">
        <v>70</v>
      </c>
      <c r="C53" s="82">
        <v>3</v>
      </c>
      <c r="D53" s="82">
        <f t="shared" si="4"/>
        <v>0</v>
      </c>
      <c r="E53" s="82">
        <f t="shared" si="5"/>
        <v>3</v>
      </c>
      <c r="F53" s="82">
        <f t="shared" si="6"/>
        <v>3</v>
      </c>
      <c r="G53" s="82">
        <f t="shared" si="6"/>
        <v>3</v>
      </c>
      <c r="H53" s="89">
        <v>0</v>
      </c>
    </row>
    <row r="54" spans="2:9" x14ac:dyDescent="0.3">
      <c r="B54" s="78" t="s">
        <v>71</v>
      </c>
      <c r="C54" s="16">
        <v>2</v>
      </c>
      <c r="D54" s="16">
        <f t="shared" si="4"/>
        <v>0</v>
      </c>
      <c r="E54" s="16">
        <f t="shared" si="5"/>
        <v>2</v>
      </c>
      <c r="F54" s="16">
        <f t="shared" si="6"/>
        <v>2</v>
      </c>
      <c r="G54" s="16">
        <f t="shared" si="6"/>
        <v>2</v>
      </c>
      <c r="H54" s="88">
        <v>0</v>
      </c>
    </row>
    <row r="55" spans="2:9" x14ac:dyDescent="0.3">
      <c r="B55" s="11" t="s">
        <v>78</v>
      </c>
      <c r="C55" s="82">
        <v>2</v>
      </c>
      <c r="D55" s="82">
        <f t="shared" si="4"/>
        <v>0</v>
      </c>
      <c r="E55" s="82">
        <f t="shared" si="5"/>
        <v>2</v>
      </c>
      <c r="F55" s="82">
        <f t="shared" si="6"/>
        <v>2</v>
      </c>
      <c r="G55" s="82">
        <f t="shared" si="6"/>
        <v>2</v>
      </c>
      <c r="H55" s="89">
        <v>0</v>
      </c>
    </row>
    <row r="56" spans="2:9" x14ac:dyDescent="0.3">
      <c r="B56" s="12" t="s">
        <v>72</v>
      </c>
      <c r="C56" s="16">
        <v>1</v>
      </c>
      <c r="D56" s="16">
        <f t="shared" si="4"/>
        <v>0</v>
      </c>
      <c r="E56" s="16">
        <f t="shared" si="5"/>
        <v>1</v>
      </c>
      <c r="F56" s="16">
        <f t="shared" si="6"/>
        <v>1</v>
      </c>
      <c r="G56" s="16">
        <f t="shared" si="6"/>
        <v>1</v>
      </c>
      <c r="H56" s="88">
        <v>0</v>
      </c>
    </row>
    <row r="57" spans="2:9" x14ac:dyDescent="0.3">
      <c r="B57" s="85" t="s">
        <v>44</v>
      </c>
      <c r="C57" s="90">
        <v>2</v>
      </c>
      <c r="D57" s="90">
        <f t="shared" si="4"/>
        <v>0</v>
      </c>
      <c r="E57" s="90">
        <f t="shared" si="5"/>
        <v>2</v>
      </c>
      <c r="F57" s="90">
        <f t="shared" si="6"/>
        <v>2</v>
      </c>
      <c r="G57" s="90">
        <f t="shared" si="6"/>
        <v>2</v>
      </c>
      <c r="H57" s="91">
        <v>0</v>
      </c>
    </row>
    <row r="58" spans="2:9" x14ac:dyDescent="0.3">
      <c r="C58" s="401">
        <v>0</v>
      </c>
      <c r="D58" s="401"/>
      <c r="H58" s="75">
        <f>SUM(H45:H57)</f>
        <v>3</v>
      </c>
    </row>
    <row r="59" spans="2:9" x14ac:dyDescent="0.3">
      <c r="C59" s="404">
        <f>D40-C58</f>
        <v>3</v>
      </c>
      <c r="D59" s="404"/>
      <c r="I59" s="1"/>
    </row>
    <row r="62" spans="2:9" ht="18.600000000000001" thickBot="1" x14ac:dyDescent="0.35">
      <c r="B62" s="76" t="s">
        <v>14</v>
      </c>
      <c r="C62" s="77"/>
      <c r="D62" s="77"/>
      <c r="E62" s="77"/>
      <c r="F62" s="77"/>
    </row>
    <row r="64" spans="2:9" x14ac:dyDescent="0.3">
      <c r="B64" s="408" t="s">
        <v>436</v>
      </c>
      <c r="C64" s="408"/>
      <c r="D64" s="62">
        <f>'Infos zone€'!G8</f>
        <v>1</v>
      </c>
    </row>
    <row r="65" spans="2:7" x14ac:dyDescent="0.3">
      <c r="B65" s="408" t="s">
        <v>330</v>
      </c>
      <c r="C65" s="408"/>
      <c r="D65">
        <v>56</v>
      </c>
    </row>
    <row r="66" spans="2:7" x14ac:dyDescent="0.3">
      <c r="B66" s="405" t="s">
        <v>438</v>
      </c>
      <c r="C66" s="405"/>
      <c r="D66" s="63">
        <f>D65/D64</f>
        <v>56</v>
      </c>
    </row>
    <row r="68" spans="2:7" ht="28.8" x14ac:dyDescent="0.3">
      <c r="B68" s="31" t="s">
        <v>327</v>
      </c>
      <c r="C68" s="32" t="s">
        <v>331</v>
      </c>
      <c r="D68" s="32" t="s">
        <v>442</v>
      </c>
      <c r="E68" s="79" t="s">
        <v>448</v>
      </c>
      <c r="F68" s="67" t="s">
        <v>332</v>
      </c>
    </row>
    <row r="69" spans="2:7" x14ac:dyDescent="0.3">
      <c r="B69" s="84" t="s">
        <v>90</v>
      </c>
      <c r="C69" s="82">
        <v>20</v>
      </c>
      <c r="D69" s="83">
        <f t="shared" ref="D69:D75" si="7">C69/$D$66</f>
        <v>0.35714285714285715</v>
      </c>
      <c r="E69" s="86">
        <v>1</v>
      </c>
      <c r="F69" s="182">
        <f t="shared" ref="F69:F75" si="8">E69</f>
        <v>1</v>
      </c>
    </row>
    <row r="70" spans="2:7" x14ac:dyDescent="0.3">
      <c r="B70" s="78" t="s">
        <v>103</v>
      </c>
      <c r="C70" s="16">
        <v>19</v>
      </c>
      <c r="D70" s="81">
        <f t="shared" si="7"/>
        <v>0.3392857142857143</v>
      </c>
      <c r="E70" s="93">
        <v>0</v>
      </c>
      <c r="F70" s="94">
        <f t="shared" si="8"/>
        <v>0</v>
      </c>
    </row>
    <row r="71" spans="2:7" x14ac:dyDescent="0.3">
      <c r="B71" s="84" t="s">
        <v>104</v>
      </c>
      <c r="C71" s="82">
        <v>8</v>
      </c>
      <c r="D71" s="83">
        <f t="shared" si="7"/>
        <v>0.14285714285714285</v>
      </c>
      <c r="E71" s="95">
        <v>0</v>
      </c>
      <c r="F71" s="96">
        <f t="shared" si="8"/>
        <v>0</v>
      </c>
    </row>
    <row r="72" spans="2:7" x14ac:dyDescent="0.3">
      <c r="B72" s="78" t="s">
        <v>91</v>
      </c>
      <c r="C72" s="16">
        <v>5</v>
      </c>
      <c r="D72" s="81">
        <f t="shared" si="7"/>
        <v>8.9285714285714288E-2</v>
      </c>
      <c r="E72" s="16">
        <v>0</v>
      </c>
      <c r="F72" s="88">
        <f t="shared" si="8"/>
        <v>0</v>
      </c>
    </row>
    <row r="73" spans="2:7" x14ac:dyDescent="0.3">
      <c r="B73" s="11" t="s">
        <v>92</v>
      </c>
      <c r="C73" s="82">
        <v>1</v>
      </c>
      <c r="D73" s="83">
        <f t="shared" si="7"/>
        <v>1.7857142857142856E-2</v>
      </c>
      <c r="E73" s="82">
        <v>0</v>
      </c>
      <c r="F73" s="89">
        <f t="shared" si="8"/>
        <v>0</v>
      </c>
    </row>
    <row r="74" spans="2:7" x14ac:dyDescent="0.3">
      <c r="B74" s="12" t="s">
        <v>93</v>
      </c>
      <c r="C74" s="16">
        <v>1</v>
      </c>
      <c r="D74" s="81">
        <f t="shared" si="7"/>
        <v>1.7857142857142856E-2</v>
      </c>
      <c r="E74" s="16">
        <v>0</v>
      </c>
      <c r="F74" s="88">
        <f t="shared" si="8"/>
        <v>0</v>
      </c>
    </row>
    <row r="75" spans="2:7" x14ac:dyDescent="0.3">
      <c r="B75" s="98" t="s">
        <v>44</v>
      </c>
      <c r="C75" s="90">
        <v>2</v>
      </c>
      <c r="D75" s="92">
        <f t="shared" si="7"/>
        <v>3.5714285714285712E-2</v>
      </c>
      <c r="E75" s="90">
        <v>0</v>
      </c>
      <c r="F75" s="91">
        <f t="shared" si="8"/>
        <v>0</v>
      </c>
    </row>
    <row r="76" spans="2:7" x14ac:dyDescent="0.3">
      <c r="C76" s="401">
        <v>0</v>
      </c>
      <c r="D76" s="401"/>
      <c r="F76" s="75">
        <f>SUM(F69:F75)</f>
        <v>1</v>
      </c>
    </row>
    <row r="77" spans="2:7" x14ac:dyDescent="0.3">
      <c r="C77" s="404">
        <f>D64-C76</f>
        <v>1</v>
      </c>
      <c r="D77" s="404"/>
      <c r="F77" s="97" t="s">
        <v>454</v>
      </c>
    </row>
    <row r="80" spans="2:7" ht="18.600000000000001" thickBot="1" x14ac:dyDescent="0.35">
      <c r="B80" s="76" t="s">
        <v>6</v>
      </c>
      <c r="C80" s="77"/>
      <c r="D80" s="77"/>
      <c r="E80" s="77"/>
      <c r="F80" s="77"/>
      <c r="G80" s="77"/>
    </row>
    <row r="82" spans="2:7" x14ac:dyDescent="0.3">
      <c r="B82" s="408" t="s">
        <v>436</v>
      </c>
      <c r="C82" s="408"/>
      <c r="D82" s="62">
        <f>'Infos zone€'!G9</f>
        <v>14.000000000000002</v>
      </c>
    </row>
    <row r="83" spans="2:7" x14ac:dyDescent="0.3">
      <c r="B83" s="408" t="s">
        <v>330</v>
      </c>
      <c r="C83" s="408"/>
      <c r="D83">
        <v>350</v>
      </c>
    </row>
    <row r="84" spans="2:7" x14ac:dyDescent="0.3">
      <c r="B84" s="405" t="s">
        <v>438</v>
      </c>
      <c r="C84" s="405"/>
      <c r="D84" s="63">
        <f>D83/D82</f>
        <v>24.999999999999996</v>
      </c>
    </row>
    <row r="86" spans="2:7" ht="28.8" x14ac:dyDescent="0.3">
      <c r="B86" s="31" t="s">
        <v>327</v>
      </c>
      <c r="C86" s="32" t="s">
        <v>331</v>
      </c>
      <c r="D86" s="32" t="s">
        <v>439</v>
      </c>
      <c r="E86" s="406">
        <f>C95</f>
        <v>3.0000000000000018</v>
      </c>
      <c r="F86" s="407"/>
      <c r="G86" s="67" t="s">
        <v>332</v>
      </c>
    </row>
    <row r="87" spans="2:7" x14ac:dyDescent="0.3">
      <c r="B87" s="9" t="s">
        <v>107</v>
      </c>
      <c r="C87" s="10">
        <v>84</v>
      </c>
      <c r="D87" s="10">
        <f t="shared" ref="D87:D93" si="9">TRUNC(C87/$D$84)</f>
        <v>3</v>
      </c>
      <c r="E87" s="68">
        <f t="shared" ref="E87:E93" si="10">C87/(D87+1)</f>
        <v>21</v>
      </c>
      <c r="F87" s="68">
        <f>C87/(D87+1)</f>
        <v>21</v>
      </c>
      <c r="G87" s="72">
        <v>4</v>
      </c>
    </row>
    <row r="88" spans="2:7" x14ac:dyDescent="0.3">
      <c r="B88" s="65" t="s">
        <v>120</v>
      </c>
      <c r="C88" s="13">
        <v>134</v>
      </c>
      <c r="D88" s="13">
        <f t="shared" si="9"/>
        <v>5</v>
      </c>
      <c r="E88" s="116">
        <f t="shared" si="10"/>
        <v>22.333333333333332</v>
      </c>
      <c r="F88" s="116">
        <f>C88/(D88+1+1)</f>
        <v>19.142857142857142</v>
      </c>
      <c r="G88" s="73">
        <v>6</v>
      </c>
    </row>
    <row r="89" spans="2:7" x14ac:dyDescent="0.3">
      <c r="B89" s="9" t="s">
        <v>108</v>
      </c>
      <c r="C89" s="10">
        <v>67</v>
      </c>
      <c r="D89" s="10">
        <f t="shared" si="9"/>
        <v>2</v>
      </c>
      <c r="E89" s="109">
        <f t="shared" si="10"/>
        <v>22.333333333333332</v>
      </c>
      <c r="F89" s="68">
        <f>C89/(D89+1+1)</f>
        <v>16.75</v>
      </c>
      <c r="G89" s="72">
        <v>3</v>
      </c>
    </row>
    <row r="90" spans="2:7" x14ac:dyDescent="0.3">
      <c r="B90" s="65" t="s">
        <v>121</v>
      </c>
      <c r="C90" s="13">
        <v>32</v>
      </c>
      <c r="D90" s="13">
        <f t="shared" si="9"/>
        <v>1</v>
      </c>
      <c r="E90" s="71">
        <f t="shared" si="10"/>
        <v>16</v>
      </c>
      <c r="F90" s="71">
        <f>C90/(D90+1)</f>
        <v>16</v>
      </c>
      <c r="G90" s="73">
        <v>1</v>
      </c>
    </row>
    <row r="91" spans="2:7" x14ac:dyDescent="0.3">
      <c r="B91" s="9" t="s">
        <v>110</v>
      </c>
      <c r="C91" s="10">
        <v>9</v>
      </c>
      <c r="D91" s="10">
        <f t="shared" si="9"/>
        <v>0</v>
      </c>
      <c r="E91" s="68">
        <f t="shared" si="10"/>
        <v>9</v>
      </c>
      <c r="F91" s="68">
        <f>C91/(D91+1)</f>
        <v>9</v>
      </c>
      <c r="G91" s="72">
        <v>0</v>
      </c>
    </row>
    <row r="92" spans="2:7" x14ac:dyDescent="0.3">
      <c r="B92" s="65" t="s">
        <v>111</v>
      </c>
      <c r="C92" s="13">
        <v>5</v>
      </c>
      <c r="D92" s="13">
        <f t="shared" si="9"/>
        <v>0</v>
      </c>
      <c r="E92" s="71">
        <f t="shared" si="10"/>
        <v>5</v>
      </c>
      <c r="F92" s="71">
        <f>C92/(D92+1)</f>
        <v>5</v>
      </c>
      <c r="G92" s="73">
        <v>0</v>
      </c>
    </row>
    <row r="93" spans="2:7" x14ac:dyDescent="0.3">
      <c r="B93" s="99" t="s">
        <v>109</v>
      </c>
      <c r="C93" s="100">
        <v>19</v>
      </c>
      <c r="D93" s="100">
        <f t="shared" si="9"/>
        <v>0</v>
      </c>
      <c r="E93" s="101">
        <f t="shared" si="10"/>
        <v>19</v>
      </c>
      <c r="F93" s="101">
        <f>C93/(D93+1)</f>
        <v>19</v>
      </c>
      <c r="G93" s="102">
        <v>0</v>
      </c>
    </row>
    <row r="94" spans="2:7" x14ac:dyDescent="0.3">
      <c r="C94" s="401">
        <f>SUM(D87:D93)</f>
        <v>11</v>
      </c>
      <c r="D94" s="401"/>
      <c r="G94" s="75">
        <f>SUM(G87:G93)</f>
        <v>14</v>
      </c>
    </row>
    <row r="95" spans="2:7" x14ac:dyDescent="0.3">
      <c r="C95" s="404">
        <f>D82-C94</f>
        <v>3.0000000000000018</v>
      </c>
      <c r="D95" s="404"/>
    </row>
    <row r="98" spans="2:6" ht="18.600000000000001" thickBot="1" x14ac:dyDescent="0.35">
      <c r="B98" s="76" t="s">
        <v>17</v>
      </c>
      <c r="C98" s="77"/>
      <c r="D98" s="77"/>
      <c r="E98" s="77"/>
      <c r="F98" s="77"/>
    </row>
    <row r="100" spans="2:6" x14ac:dyDescent="0.3">
      <c r="B100" s="408" t="s">
        <v>436</v>
      </c>
      <c r="C100" s="408"/>
      <c r="D100" s="62">
        <f>'Infos zone€'!G10</f>
        <v>1</v>
      </c>
    </row>
    <row r="101" spans="2:6" x14ac:dyDescent="0.3">
      <c r="B101" s="408" t="s">
        <v>330</v>
      </c>
      <c r="C101" s="408"/>
      <c r="D101">
        <v>101</v>
      </c>
    </row>
    <row r="102" spans="2:6" x14ac:dyDescent="0.3">
      <c r="B102" s="405" t="s">
        <v>438</v>
      </c>
      <c r="C102" s="405"/>
      <c r="D102" s="63">
        <f>D101/D100</f>
        <v>101</v>
      </c>
    </row>
    <row r="104" spans="2:6" ht="28.8" x14ac:dyDescent="0.3">
      <c r="B104" s="31" t="s">
        <v>327</v>
      </c>
      <c r="C104" s="32" t="s">
        <v>331</v>
      </c>
      <c r="D104" s="32" t="s">
        <v>442</v>
      </c>
      <c r="E104" s="79" t="s">
        <v>448</v>
      </c>
      <c r="F104" s="67" t="s">
        <v>332</v>
      </c>
    </row>
    <row r="105" spans="2:6" x14ac:dyDescent="0.3">
      <c r="B105" s="84" t="s">
        <v>342</v>
      </c>
      <c r="C105" s="82">
        <v>30</v>
      </c>
      <c r="D105" s="83">
        <f t="shared" ref="D105:D110" si="11">C105/$D$102</f>
        <v>0.29702970297029702</v>
      </c>
      <c r="E105" s="86">
        <v>1</v>
      </c>
      <c r="F105" s="182">
        <f t="shared" ref="F105:F110" si="12">E105</f>
        <v>1</v>
      </c>
    </row>
    <row r="106" spans="2:6" x14ac:dyDescent="0.3">
      <c r="B106" s="78" t="s">
        <v>351</v>
      </c>
      <c r="C106" s="16">
        <v>27</v>
      </c>
      <c r="D106" s="81">
        <f t="shared" si="11"/>
        <v>0.26732673267326734</v>
      </c>
      <c r="E106" s="93">
        <v>0</v>
      </c>
      <c r="F106" s="94">
        <f t="shared" si="12"/>
        <v>0</v>
      </c>
    </row>
    <row r="107" spans="2:6" x14ac:dyDescent="0.3">
      <c r="B107" s="84" t="s">
        <v>352</v>
      </c>
      <c r="C107" s="82">
        <v>15</v>
      </c>
      <c r="D107" s="83">
        <f t="shared" si="11"/>
        <v>0.14851485148514851</v>
      </c>
      <c r="E107" s="95">
        <v>0</v>
      </c>
      <c r="F107" s="96">
        <f t="shared" si="12"/>
        <v>0</v>
      </c>
    </row>
    <row r="108" spans="2:6" x14ac:dyDescent="0.3">
      <c r="B108" s="78" t="s">
        <v>353</v>
      </c>
      <c r="C108" s="16">
        <v>14</v>
      </c>
      <c r="D108" s="81">
        <f t="shared" si="11"/>
        <v>0.13861386138613863</v>
      </c>
      <c r="E108" s="16">
        <v>0</v>
      </c>
      <c r="F108" s="88">
        <f t="shared" si="12"/>
        <v>0</v>
      </c>
    </row>
    <row r="109" spans="2:6" x14ac:dyDescent="0.3">
      <c r="B109" s="11" t="s">
        <v>343</v>
      </c>
      <c r="C109" s="82">
        <v>8</v>
      </c>
      <c r="D109" s="83">
        <f t="shared" si="11"/>
        <v>7.9207920792079209E-2</v>
      </c>
      <c r="E109" s="82">
        <v>0</v>
      </c>
      <c r="F109" s="89">
        <f t="shared" si="12"/>
        <v>0</v>
      </c>
    </row>
    <row r="110" spans="2:6" x14ac:dyDescent="0.3">
      <c r="B110" s="103" t="s">
        <v>344</v>
      </c>
      <c r="C110" s="104">
        <v>7</v>
      </c>
      <c r="D110" s="105">
        <f t="shared" si="11"/>
        <v>6.9306930693069313E-2</v>
      </c>
      <c r="E110" s="104">
        <v>0</v>
      </c>
      <c r="F110" s="106">
        <f t="shared" si="12"/>
        <v>0</v>
      </c>
    </row>
    <row r="111" spans="2:6" x14ac:dyDescent="0.3">
      <c r="C111" s="401">
        <v>0</v>
      </c>
      <c r="D111" s="401"/>
      <c r="F111" s="75">
        <f>SUM(F105:F110)</f>
        <v>1</v>
      </c>
    </row>
    <row r="112" spans="2:6" x14ac:dyDescent="0.3">
      <c r="C112" s="404">
        <f>D100-C111</f>
        <v>1</v>
      </c>
      <c r="D112" s="404"/>
      <c r="F112" s="97" t="s">
        <v>454</v>
      </c>
    </row>
    <row r="115" spans="2:7" ht="18.600000000000001" thickBot="1" x14ac:dyDescent="0.35">
      <c r="B115" s="76" t="s">
        <v>7</v>
      </c>
      <c r="C115" s="77"/>
      <c r="D115" s="77"/>
      <c r="E115" s="77"/>
      <c r="F115" s="77"/>
    </row>
    <row r="117" spans="2:7" x14ac:dyDescent="0.3">
      <c r="B117" s="408" t="s">
        <v>436</v>
      </c>
      <c r="C117" s="408"/>
      <c r="D117" s="62">
        <f>'Infos zone€'!G11</f>
        <v>2</v>
      </c>
    </row>
    <row r="118" spans="2:7" x14ac:dyDescent="0.3">
      <c r="B118" s="408" t="s">
        <v>330</v>
      </c>
      <c r="C118" s="408"/>
      <c r="D118">
        <v>200</v>
      </c>
    </row>
    <row r="119" spans="2:7" x14ac:dyDescent="0.3">
      <c r="B119" s="405" t="s">
        <v>438</v>
      </c>
      <c r="C119" s="405"/>
      <c r="D119" s="63">
        <f>D118/D117</f>
        <v>100</v>
      </c>
    </row>
    <row r="121" spans="2:7" ht="28.8" x14ac:dyDescent="0.3">
      <c r="B121" s="31" t="s">
        <v>327</v>
      </c>
      <c r="C121" s="32" t="s">
        <v>331</v>
      </c>
      <c r="D121" s="32" t="s">
        <v>439</v>
      </c>
      <c r="E121" s="402">
        <f>C131</f>
        <v>2</v>
      </c>
      <c r="F121" s="403"/>
      <c r="G121" s="67" t="s">
        <v>332</v>
      </c>
    </row>
    <row r="122" spans="2:7" x14ac:dyDescent="0.3">
      <c r="B122" s="84" t="s">
        <v>337</v>
      </c>
      <c r="C122" s="82">
        <v>49</v>
      </c>
      <c r="D122" s="82">
        <f>TRUNC(C122/$D$119)</f>
        <v>0</v>
      </c>
      <c r="E122" s="82">
        <f>C122/(D122+1)</f>
        <v>49</v>
      </c>
      <c r="F122" s="82">
        <f>C122/(D122+1+1)</f>
        <v>24.5</v>
      </c>
      <c r="G122" s="182">
        <v>1</v>
      </c>
    </row>
    <row r="123" spans="2:7" x14ac:dyDescent="0.3">
      <c r="B123" s="78" t="s">
        <v>338</v>
      </c>
      <c r="C123" s="16">
        <v>38</v>
      </c>
      <c r="D123" s="16">
        <f t="shared" ref="D123:D129" si="13">TRUNC(C123/$D$119)</f>
        <v>0</v>
      </c>
      <c r="E123" s="16">
        <f t="shared" ref="E123:E129" si="14">C123/(D123+1)</f>
        <v>38</v>
      </c>
      <c r="F123" s="16">
        <f>E123</f>
        <v>38</v>
      </c>
      <c r="G123" s="94">
        <v>1</v>
      </c>
    </row>
    <row r="124" spans="2:7" x14ac:dyDescent="0.3">
      <c r="B124" s="84" t="s">
        <v>339</v>
      </c>
      <c r="C124" s="82">
        <v>37</v>
      </c>
      <c r="D124" s="82">
        <f t="shared" si="13"/>
        <v>0</v>
      </c>
      <c r="E124" s="82">
        <f t="shared" si="14"/>
        <v>37</v>
      </c>
      <c r="F124" s="82">
        <f t="shared" ref="F124:F129" si="15">E124</f>
        <v>37</v>
      </c>
      <c r="G124" s="96">
        <v>0</v>
      </c>
    </row>
    <row r="125" spans="2:7" x14ac:dyDescent="0.3">
      <c r="B125" s="78" t="s">
        <v>134</v>
      </c>
      <c r="C125" s="16">
        <v>34</v>
      </c>
      <c r="D125" s="16">
        <f t="shared" si="13"/>
        <v>0</v>
      </c>
      <c r="E125" s="16">
        <f t="shared" si="14"/>
        <v>34</v>
      </c>
      <c r="F125" s="16">
        <f t="shared" si="15"/>
        <v>34</v>
      </c>
      <c r="G125" s="88">
        <v>0</v>
      </c>
    </row>
    <row r="126" spans="2:7" x14ac:dyDescent="0.3">
      <c r="B126" s="11" t="s">
        <v>135</v>
      </c>
      <c r="C126" s="82">
        <v>15</v>
      </c>
      <c r="D126" s="82">
        <f t="shared" si="13"/>
        <v>0</v>
      </c>
      <c r="E126" s="82">
        <f t="shared" si="14"/>
        <v>15</v>
      </c>
      <c r="F126" s="82">
        <f t="shared" si="15"/>
        <v>15</v>
      </c>
      <c r="G126" s="89">
        <v>0</v>
      </c>
    </row>
    <row r="127" spans="2:7" x14ac:dyDescent="0.3">
      <c r="B127" s="12" t="s">
        <v>136</v>
      </c>
      <c r="C127" s="16">
        <v>12</v>
      </c>
      <c r="D127" s="16">
        <f t="shared" si="13"/>
        <v>0</v>
      </c>
      <c r="E127" s="16">
        <f t="shared" si="14"/>
        <v>12</v>
      </c>
      <c r="F127" s="16">
        <f t="shared" si="15"/>
        <v>12</v>
      </c>
      <c r="G127" s="88">
        <v>0</v>
      </c>
    </row>
    <row r="128" spans="2:7" x14ac:dyDescent="0.3">
      <c r="B128" s="84" t="s">
        <v>130</v>
      </c>
      <c r="C128" s="82">
        <v>10</v>
      </c>
      <c r="D128" s="82">
        <f t="shared" si="13"/>
        <v>0</v>
      </c>
      <c r="E128" s="82">
        <f t="shared" si="14"/>
        <v>10</v>
      </c>
      <c r="F128" s="82">
        <f t="shared" si="15"/>
        <v>10</v>
      </c>
      <c r="G128" s="89">
        <v>0</v>
      </c>
    </row>
    <row r="129" spans="2:10" x14ac:dyDescent="0.3">
      <c r="B129" s="107" t="s">
        <v>132</v>
      </c>
      <c r="C129" s="104">
        <v>5</v>
      </c>
      <c r="D129" s="104">
        <f t="shared" si="13"/>
        <v>0</v>
      </c>
      <c r="E129" s="104">
        <f t="shared" si="14"/>
        <v>5</v>
      </c>
      <c r="F129" s="104">
        <f t="shared" si="15"/>
        <v>5</v>
      </c>
      <c r="G129" s="106">
        <v>0</v>
      </c>
    </row>
    <row r="130" spans="2:10" x14ac:dyDescent="0.3">
      <c r="C130" s="401">
        <v>0</v>
      </c>
      <c r="D130" s="401"/>
      <c r="F130" s="16"/>
      <c r="G130" s="75">
        <f>SUM(G122:G129)</f>
        <v>2</v>
      </c>
    </row>
    <row r="131" spans="2:10" x14ac:dyDescent="0.3">
      <c r="C131" s="404">
        <f>D117-C130</f>
        <v>2</v>
      </c>
      <c r="D131" s="404"/>
      <c r="F131" s="16"/>
    </row>
    <row r="132" spans="2:10" x14ac:dyDescent="0.3">
      <c r="F132" s="1"/>
    </row>
    <row r="133" spans="2:10" x14ac:dyDescent="0.3">
      <c r="F133" s="1"/>
    </row>
    <row r="134" spans="2:10" ht="18.600000000000001" thickBot="1" x14ac:dyDescent="0.35">
      <c r="B134" s="76" t="s">
        <v>8</v>
      </c>
      <c r="C134" s="77"/>
      <c r="D134" s="77"/>
      <c r="E134" s="77"/>
      <c r="F134" s="77"/>
      <c r="G134" s="77"/>
      <c r="H134" s="77"/>
      <c r="I134" s="77"/>
      <c r="J134" s="77"/>
    </row>
    <row r="136" spans="2:10" x14ac:dyDescent="0.3">
      <c r="B136" s="408" t="s">
        <v>436</v>
      </c>
      <c r="C136" s="408"/>
      <c r="D136" s="62">
        <f>'Infos zone€'!G12</f>
        <v>20</v>
      </c>
    </row>
    <row r="137" spans="2:10" x14ac:dyDescent="0.3">
      <c r="B137" s="408" t="s">
        <v>330</v>
      </c>
      <c r="C137" s="408"/>
      <c r="D137">
        <v>577</v>
      </c>
    </row>
    <row r="138" spans="2:10" x14ac:dyDescent="0.3">
      <c r="B138" s="405" t="s">
        <v>438</v>
      </c>
      <c r="C138" s="405"/>
      <c r="D138" s="63">
        <f>D137/D136</f>
        <v>28.85</v>
      </c>
    </row>
    <row r="140" spans="2:10" ht="28.8" x14ac:dyDescent="0.3">
      <c r="B140" s="31" t="s">
        <v>327</v>
      </c>
      <c r="C140" s="32" t="s">
        <v>331</v>
      </c>
      <c r="D140" s="32" t="s">
        <v>439</v>
      </c>
      <c r="E140" s="406">
        <f>C149</f>
        <v>5</v>
      </c>
      <c r="F140" s="406"/>
      <c r="G140" s="406"/>
      <c r="H140" s="406"/>
      <c r="I140" s="406"/>
      <c r="J140" s="67" t="s">
        <v>332</v>
      </c>
    </row>
    <row r="141" spans="2:10" x14ac:dyDescent="0.3">
      <c r="B141" s="9" t="s">
        <v>444</v>
      </c>
      <c r="C141" s="10">
        <v>288</v>
      </c>
      <c r="D141" s="68">
        <f t="shared" ref="D141:D147" si="16">TRUNC(C141/$D$138)</f>
        <v>9</v>
      </c>
      <c r="E141" s="109">
        <f t="shared" ref="E141:E147" si="17">C141/(D141+1)</f>
        <v>28.8</v>
      </c>
      <c r="F141" s="109">
        <f>C141/(D141+1+1)</f>
        <v>26.181818181818183</v>
      </c>
      <c r="G141" s="109">
        <f>C141/(D141+1+1)</f>
        <v>26.181818181818183</v>
      </c>
      <c r="H141" s="109">
        <f>C141/(D141+1+1)</f>
        <v>26.181818181818183</v>
      </c>
      <c r="I141" s="68">
        <f>C141/(D141+1+1+1)</f>
        <v>24</v>
      </c>
      <c r="J141" s="113">
        <v>11</v>
      </c>
    </row>
    <row r="142" spans="2:10" x14ac:dyDescent="0.3">
      <c r="B142" s="65" t="s">
        <v>443</v>
      </c>
      <c r="C142" s="13">
        <v>199</v>
      </c>
      <c r="D142" s="8">
        <f t="shared" si="16"/>
        <v>6</v>
      </c>
      <c r="E142" s="108">
        <f t="shared" si="17"/>
        <v>28.428571428571427</v>
      </c>
      <c r="F142" s="108">
        <f t="shared" ref="F142:F147" si="18">C142/(D142+1)</f>
        <v>28.428571428571427</v>
      </c>
      <c r="G142" s="108">
        <f>C142/(D142+1+1)</f>
        <v>24.875</v>
      </c>
      <c r="H142" s="108">
        <f>C142/(D142+1+1)</f>
        <v>24.875</v>
      </c>
      <c r="I142" s="111">
        <f>C142/(D142+1+1)</f>
        <v>24.875</v>
      </c>
      <c r="J142" s="114">
        <v>8</v>
      </c>
    </row>
    <row r="143" spans="2:10" x14ac:dyDescent="0.3">
      <c r="B143" s="9" t="s">
        <v>140</v>
      </c>
      <c r="C143" s="10">
        <v>27</v>
      </c>
      <c r="D143" s="68">
        <f t="shared" si="16"/>
        <v>0</v>
      </c>
      <c r="E143" s="68">
        <f t="shared" si="17"/>
        <v>27</v>
      </c>
      <c r="F143" s="68">
        <f t="shared" si="18"/>
        <v>27</v>
      </c>
      <c r="G143" s="68">
        <f>C143/(D143+1)</f>
        <v>27</v>
      </c>
      <c r="H143" s="68">
        <f>C143/(D143+1+1)</f>
        <v>13.5</v>
      </c>
      <c r="I143" s="68">
        <f>C143/(D143+1+1)</f>
        <v>13.5</v>
      </c>
      <c r="J143" s="72">
        <v>1</v>
      </c>
    </row>
    <row r="144" spans="2:10" x14ac:dyDescent="0.3">
      <c r="B144" s="65" t="s">
        <v>141</v>
      </c>
      <c r="C144" s="13">
        <v>18</v>
      </c>
      <c r="D144" s="8">
        <f t="shared" si="16"/>
        <v>0</v>
      </c>
      <c r="E144" s="8">
        <f t="shared" si="17"/>
        <v>18</v>
      </c>
      <c r="F144" s="8">
        <f t="shared" si="18"/>
        <v>18</v>
      </c>
      <c r="G144" s="8">
        <f>C144/(D144+1)</f>
        <v>18</v>
      </c>
      <c r="H144" s="8">
        <f>C144/(D144+1)</f>
        <v>18</v>
      </c>
      <c r="I144" s="8">
        <f>C144/(D144+1)</f>
        <v>18</v>
      </c>
      <c r="J144" s="114">
        <v>0</v>
      </c>
    </row>
    <row r="145" spans="2:10" x14ac:dyDescent="0.3">
      <c r="B145" s="9" t="s">
        <v>142</v>
      </c>
      <c r="C145" s="10">
        <v>15</v>
      </c>
      <c r="D145" s="68">
        <f t="shared" si="16"/>
        <v>0</v>
      </c>
      <c r="E145" s="68">
        <f t="shared" si="17"/>
        <v>15</v>
      </c>
      <c r="F145" s="68">
        <f t="shared" si="18"/>
        <v>15</v>
      </c>
      <c r="G145" s="68">
        <f>C145/(D145+1)</f>
        <v>15</v>
      </c>
      <c r="H145" s="68">
        <f>C145/(D145+1)</f>
        <v>15</v>
      </c>
      <c r="I145" s="68">
        <f>C145/(D145+1)</f>
        <v>15</v>
      </c>
      <c r="J145" s="72">
        <v>0</v>
      </c>
    </row>
    <row r="146" spans="2:10" x14ac:dyDescent="0.3">
      <c r="B146" s="65" t="s">
        <v>143</v>
      </c>
      <c r="C146" s="13">
        <v>25</v>
      </c>
      <c r="D146" s="8">
        <f t="shared" si="16"/>
        <v>0</v>
      </c>
      <c r="E146" s="8">
        <f t="shared" si="17"/>
        <v>25</v>
      </c>
      <c r="F146" s="8">
        <f t="shared" si="18"/>
        <v>25</v>
      </c>
      <c r="G146" s="8">
        <f>C146/(D146+1)</f>
        <v>25</v>
      </c>
      <c r="H146" s="8">
        <f>C146/(D146+1)</f>
        <v>25</v>
      </c>
      <c r="I146" s="110">
        <f>C146/(D146+1)</f>
        <v>25</v>
      </c>
      <c r="J146" s="114">
        <v>0</v>
      </c>
    </row>
    <row r="147" spans="2:10" x14ac:dyDescent="0.3">
      <c r="B147" s="99" t="s">
        <v>445</v>
      </c>
      <c r="C147" s="100">
        <v>5</v>
      </c>
      <c r="D147" s="101">
        <f t="shared" si="16"/>
        <v>0</v>
      </c>
      <c r="E147" s="101">
        <f t="shared" si="17"/>
        <v>5</v>
      </c>
      <c r="F147" s="101">
        <f t="shared" si="18"/>
        <v>5</v>
      </c>
      <c r="G147" s="101">
        <f>C147/(D147+1)</f>
        <v>5</v>
      </c>
      <c r="H147" s="101">
        <f>C147/(D147+1)</f>
        <v>5</v>
      </c>
      <c r="I147" s="101">
        <f>C147/(D147+1)</f>
        <v>5</v>
      </c>
      <c r="J147" s="102">
        <v>0</v>
      </c>
    </row>
    <row r="148" spans="2:10" x14ac:dyDescent="0.3">
      <c r="C148" s="401">
        <f>SUM(D141:D147)</f>
        <v>15</v>
      </c>
      <c r="D148" s="401"/>
      <c r="J148" s="82">
        <f>SUM(J141:J147)</f>
        <v>20</v>
      </c>
    </row>
    <row r="149" spans="2:10" x14ac:dyDescent="0.3">
      <c r="C149" s="404">
        <f>D136-C148</f>
        <v>5</v>
      </c>
      <c r="D149" s="404"/>
      <c r="J149" s="97" t="s">
        <v>446</v>
      </c>
    </row>
    <row r="150" spans="2:10" x14ac:dyDescent="0.3">
      <c r="J150" s="97"/>
    </row>
    <row r="151" spans="2:10" x14ac:dyDescent="0.3">
      <c r="J151" s="97"/>
    </row>
    <row r="152" spans="2:10" ht="18.600000000000001" thickBot="1" x14ac:dyDescent="0.35">
      <c r="B152" s="76" t="s">
        <v>20</v>
      </c>
      <c r="C152" s="77"/>
      <c r="D152" s="77"/>
      <c r="E152" s="77"/>
      <c r="F152" s="77"/>
      <c r="G152" s="77"/>
    </row>
    <row r="154" spans="2:10" x14ac:dyDescent="0.3">
      <c r="B154" s="408" t="s">
        <v>436</v>
      </c>
      <c r="C154" s="408"/>
      <c r="D154" s="62">
        <f>'Infos zone€'!G13</f>
        <v>3</v>
      </c>
    </row>
    <row r="155" spans="2:10" x14ac:dyDescent="0.3">
      <c r="B155" s="408" t="s">
        <v>330</v>
      </c>
      <c r="C155" s="408"/>
      <c r="D155">
        <v>300</v>
      </c>
    </row>
    <row r="156" spans="2:10" x14ac:dyDescent="0.3">
      <c r="B156" s="405" t="s">
        <v>438</v>
      </c>
      <c r="C156" s="405"/>
      <c r="D156" s="63">
        <f>D155/D154</f>
        <v>100</v>
      </c>
    </row>
    <row r="158" spans="2:10" ht="28.8" x14ac:dyDescent="0.3">
      <c r="B158" s="31" t="s">
        <v>327</v>
      </c>
      <c r="C158" s="32" t="s">
        <v>331</v>
      </c>
      <c r="D158" s="32" t="s">
        <v>439</v>
      </c>
      <c r="E158" s="406">
        <f>C169</f>
        <v>2</v>
      </c>
      <c r="F158" s="407"/>
      <c r="G158" s="67" t="s">
        <v>332</v>
      </c>
    </row>
    <row r="159" spans="2:10" x14ac:dyDescent="0.3">
      <c r="B159" s="84" t="s">
        <v>155</v>
      </c>
      <c r="C159" s="82">
        <v>144</v>
      </c>
      <c r="D159" s="115">
        <f t="shared" ref="D159:D167" si="19">TRUNC(C159/$D$156)</f>
        <v>1</v>
      </c>
      <c r="E159" s="115">
        <f t="shared" ref="E159:E167" si="20">C159/(D159+1)</f>
        <v>72</v>
      </c>
      <c r="F159" s="115">
        <f>C159/(D159+1)</f>
        <v>72</v>
      </c>
      <c r="G159" s="117">
        <v>2</v>
      </c>
    </row>
    <row r="160" spans="2:10" x14ac:dyDescent="0.3">
      <c r="B160" s="78" t="s">
        <v>157</v>
      </c>
      <c r="C160" s="16">
        <v>76</v>
      </c>
      <c r="D160" s="70">
        <f t="shared" si="19"/>
        <v>0</v>
      </c>
      <c r="E160" s="70">
        <f t="shared" si="20"/>
        <v>76</v>
      </c>
      <c r="F160" s="70">
        <f>C160/(D160+1+1)</f>
        <v>38</v>
      </c>
      <c r="G160" s="118">
        <v>1</v>
      </c>
    </row>
    <row r="161" spans="2:7" x14ac:dyDescent="0.3">
      <c r="B161" s="84" t="s">
        <v>160</v>
      </c>
      <c r="C161" s="82">
        <v>18</v>
      </c>
      <c r="D161" s="115">
        <f t="shared" si="19"/>
        <v>0</v>
      </c>
      <c r="E161" s="115">
        <f t="shared" si="20"/>
        <v>18</v>
      </c>
      <c r="F161" s="115">
        <f t="shared" ref="F161:F167" si="21">C161/(D161+1)</f>
        <v>18</v>
      </c>
      <c r="G161" s="119">
        <v>0</v>
      </c>
    </row>
    <row r="162" spans="2:7" x14ac:dyDescent="0.3">
      <c r="B162" s="78" t="s">
        <v>153</v>
      </c>
      <c r="C162" s="16">
        <v>18</v>
      </c>
      <c r="D162" s="70">
        <f t="shared" si="19"/>
        <v>0</v>
      </c>
      <c r="E162" s="70">
        <f t="shared" si="20"/>
        <v>18</v>
      </c>
      <c r="F162" s="70">
        <f t="shared" si="21"/>
        <v>18</v>
      </c>
      <c r="G162" s="118">
        <v>0</v>
      </c>
    </row>
    <row r="163" spans="2:7" x14ac:dyDescent="0.3">
      <c r="B163" s="11" t="s">
        <v>163</v>
      </c>
      <c r="C163" s="82">
        <v>15</v>
      </c>
      <c r="D163" s="115">
        <f t="shared" si="19"/>
        <v>0</v>
      </c>
      <c r="E163" s="115">
        <f t="shared" si="20"/>
        <v>15</v>
      </c>
      <c r="F163" s="115">
        <f t="shared" si="21"/>
        <v>15</v>
      </c>
      <c r="G163" s="119">
        <v>0</v>
      </c>
    </row>
    <row r="164" spans="2:7" x14ac:dyDescent="0.3">
      <c r="B164" s="12" t="s">
        <v>354</v>
      </c>
      <c r="C164" s="16">
        <v>9</v>
      </c>
      <c r="D164" s="70">
        <f t="shared" si="19"/>
        <v>0</v>
      </c>
      <c r="E164" s="70">
        <f t="shared" si="20"/>
        <v>9</v>
      </c>
      <c r="F164" s="70">
        <f t="shared" si="21"/>
        <v>9</v>
      </c>
      <c r="G164" s="118">
        <v>0</v>
      </c>
    </row>
    <row r="165" spans="2:7" x14ac:dyDescent="0.3">
      <c r="B165" s="84" t="s">
        <v>168</v>
      </c>
      <c r="C165" s="82">
        <v>8</v>
      </c>
      <c r="D165" s="115">
        <f t="shared" si="19"/>
        <v>0</v>
      </c>
      <c r="E165" s="115">
        <f t="shared" si="20"/>
        <v>8</v>
      </c>
      <c r="F165" s="115">
        <f t="shared" si="21"/>
        <v>8</v>
      </c>
      <c r="G165" s="119">
        <v>0</v>
      </c>
    </row>
    <row r="166" spans="2:7" x14ac:dyDescent="0.3">
      <c r="B166" s="78" t="s">
        <v>169</v>
      </c>
      <c r="C166" s="16">
        <v>6</v>
      </c>
      <c r="D166" s="70">
        <f t="shared" si="19"/>
        <v>0</v>
      </c>
      <c r="E166" s="70">
        <f t="shared" si="20"/>
        <v>6</v>
      </c>
      <c r="F166" s="70">
        <f t="shared" si="21"/>
        <v>6</v>
      </c>
      <c r="G166" s="118">
        <v>0</v>
      </c>
    </row>
    <row r="167" spans="2:7" x14ac:dyDescent="0.3">
      <c r="B167" s="98" t="s">
        <v>44</v>
      </c>
      <c r="C167" s="90">
        <v>6</v>
      </c>
      <c r="D167" s="120">
        <f t="shared" si="19"/>
        <v>0</v>
      </c>
      <c r="E167" s="120">
        <f t="shared" si="20"/>
        <v>6</v>
      </c>
      <c r="F167" s="120">
        <f t="shared" si="21"/>
        <v>6</v>
      </c>
      <c r="G167" s="121">
        <v>0</v>
      </c>
    </row>
    <row r="168" spans="2:7" x14ac:dyDescent="0.3">
      <c r="C168" s="401">
        <f>SUM(D159:D167)</f>
        <v>1</v>
      </c>
      <c r="D168" s="401"/>
      <c r="G168" s="122">
        <f>SUM(G159:G167)</f>
        <v>3</v>
      </c>
    </row>
    <row r="169" spans="2:7" x14ac:dyDescent="0.3">
      <c r="C169" s="404">
        <f>D154-C168</f>
        <v>2</v>
      </c>
      <c r="D169" s="404"/>
    </row>
    <row r="172" spans="2:7" ht="18.600000000000001" thickBot="1" x14ac:dyDescent="0.35">
      <c r="B172" s="76" t="s">
        <v>9</v>
      </c>
      <c r="C172" s="77"/>
      <c r="D172" s="77"/>
      <c r="E172" s="77"/>
      <c r="F172" s="77"/>
    </row>
    <row r="174" spans="2:7" x14ac:dyDescent="0.3">
      <c r="B174" s="408" t="s">
        <v>436</v>
      </c>
      <c r="C174" s="408"/>
      <c r="D174" s="62">
        <f>'Infos zone€'!G14</f>
        <v>1</v>
      </c>
    </row>
    <row r="175" spans="2:7" x14ac:dyDescent="0.3">
      <c r="B175" s="408" t="s">
        <v>330</v>
      </c>
      <c r="C175" s="408"/>
      <c r="D175">
        <v>158</v>
      </c>
    </row>
    <row r="176" spans="2:7" x14ac:dyDescent="0.3">
      <c r="B176" s="405" t="s">
        <v>438</v>
      </c>
      <c r="C176" s="405"/>
      <c r="D176" s="63">
        <f>D175/D174</f>
        <v>158</v>
      </c>
    </row>
    <row r="178" spans="2:8" ht="28.8" x14ac:dyDescent="0.3">
      <c r="B178" s="31" t="s">
        <v>327</v>
      </c>
      <c r="C178" s="32" t="s">
        <v>331</v>
      </c>
      <c r="D178" s="32" t="s">
        <v>442</v>
      </c>
      <c r="E178" s="79" t="s">
        <v>448</v>
      </c>
      <c r="F178" s="67" t="s">
        <v>332</v>
      </c>
      <c r="H178" s="1"/>
    </row>
    <row r="179" spans="2:8" x14ac:dyDescent="0.3">
      <c r="B179" s="84" t="s">
        <v>355</v>
      </c>
      <c r="C179" s="82">
        <v>50</v>
      </c>
      <c r="D179" s="83">
        <f t="shared" ref="D179:D188" si="22">C179/$D$176</f>
        <v>0.31645569620253167</v>
      </c>
      <c r="E179" s="86">
        <v>1</v>
      </c>
      <c r="F179" s="123">
        <f>E179</f>
        <v>1</v>
      </c>
    </row>
    <row r="180" spans="2:8" x14ac:dyDescent="0.3">
      <c r="B180" s="78" t="s">
        <v>177</v>
      </c>
      <c r="C180" s="16">
        <v>44</v>
      </c>
      <c r="D180" s="81">
        <f t="shared" si="22"/>
        <v>0.27848101265822783</v>
      </c>
      <c r="E180" s="93">
        <v>0</v>
      </c>
      <c r="F180" s="88">
        <f t="shared" ref="F180:F188" si="23">E180</f>
        <v>0</v>
      </c>
    </row>
    <row r="181" spans="2:8" x14ac:dyDescent="0.3">
      <c r="B181" s="84" t="s">
        <v>178</v>
      </c>
      <c r="C181" s="82">
        <v>23</v>
      </c>
      <c r="D181" s="83">
        <f t="shared" si="22"/>
        <v>0.14556962025316456</v>
      </c>
      <c r="E181" s="95">
        <v>0</v>
      </c>
      <c r="F181" s="89">
        <f t="shared" si="23"/>
        <v>0</v>
      </c>
    </row>
    <row r="182" spans="2:8" x14ac:dyDescent="0.3">
      <c r="B182" s="78" t="s">
        <v>186</v>
      </c>
      <c r="C182" s="16">
        <v>7</v>
      </c>
      <c r="D182" s="81">
        <f t="shared" si="22"/>
        <v>4.4303797468354431E-2</v>
      </c>
      <c r="E182" s="16">
        <v>0</v>
      </c>
      <c r="F182" s="88">
        <f t="shared" si="23"/>
        <v>0</v>
      </c>
    </row>
    <row r="183" spans="2:8" x14ac:dyDescent="0.3">
      <c r="B183" s="11" t="s">
        <v>183</v>
      </c>
      <c r="C183" s="82">
        <v>6</v>
      </c>
      <c r="D183" s="83">
        <f t="shared" si="22"/>
        <v>3.7974683544303799E-2</v>
      </c>
      <c r="E183" s="82">
        <v>0</v>
      </c>
      <c r="F183" s="89">
        <f t="shared" si="23"/>
        <v>0</v>
      </c>
    </row>
    <row r="184" spans="2:8" x14ac:dyDescent="0.3">
      <c r="B184" s="78" t="s">
        <v>188</v>
      </c>
      <c r="C184" s="16">
        <v>4</v>
      </c>
      <c r="D184" s="81">
        <f t="shared" si="22"/>
        <v>2.5316455696202531E-2</v>
      </c>
      <c r="E184" s="93">
        <v>0</v>
      </c>
      <c r="F184" s="88">
        <f t="shared" si="23"/>
        <v>0</v>
      </c>
    </row>
    <row r="185" spans="2:8" x14ac:dyDescent="0.3">
      <c r="B185" s="84" t="s">
        <v>185</v>
      </c>
      <c r="C185" s="82">
        <v>3</v>
      </c>
      <c r="D185" s="83">
        <f t="shared" si="22"/>
        <v>1.8987341772151899E-2</v>
      </c>
      <c r="E185" s="95">
        <v>0</v>
      </c>
      <c r="F185" s="89">
        <f t="shared" si="23"/>
        <v>0</v>
      </c>
    </row>
    <row r="186" spans="2:8" x14ac:dyDescent="0.3">
      <c r="B186" s="78" t="s">
        <v>179</v>
      </c>
      <c r="C186" s="16">
        <v>2</v>
      </c>
      <c r="D186" s="81">
        <f t="shared" si="22"/>
        <v>1.2658227848101266E-2</v>
      </c>
      <c r="E186" s="16">
        <v>0</v>
      </c>
      <c r="F186" s="88">
        <f t="shared" si="23"/>
        <v>0</v>
      </c>
    </row>
    <row r="187" spans="2:8" x14ac:dyDescent="0.3">
      <c r="B187" s="11" t="s">
        <v>44</v>
      </c>
      <c r="C187" s="82">
        <v>11</v>
      </c>
      <c r="D187" s="83">
        <f t="shared" si="22"/>
        <v>6.9620253164556958E-2</v>
      </c>
      <c r="E187" s="82">
        <v>0</v>
      </c>
      <c r="F187" s="89">
        <f t="shared" si="23"/>
        <v>0</v>
      </c>
    </row>
    <row r="188" spans="2:8" x14ac:dyDescent="0.3">
      <c r="B188" s="107" t="s">
        <v>180</v>
      </c>
      <c r="C188" s="104">
        <v>8</v>
      </c>
      <c r="D188" s="105">
        <f t="shared" si="22"/>
        <v>5.0632911392405063E-2</v>
      </c>
      <c r="E188" s="104">
        <v>0</v>
      </c>
      <c r="F188" s="88">
        <f t="shared" si="23"/>
        <v>0</v>
      </c>
    </row>
    <row r="189" spans="2:8" x14ac:dyDescent="0.3">
      <c r="C189" s="401">
        <v>0</v>
      </c>
      <c r="D189" s="401"/>
      <c r="F189" s="125">
        <f>SUM(F179:F188)</f>
        <v>1</v>
      </c>
    </row>
    <row r="190" spans="2:8" x14ac:dyDescent="0.3">
      <c r="C190" s="404">
        <f>D174-C189</f>
        <v>1</v>
      </c>
      <c r="D190" s="404"/>
      <c r="F190" s="97" t="s">
        <v>454</v>
      </c>
    </row>
    <row r="191" spans="2:8" x14ac:dyDescent="0.3">
      <c r="F191" s="97"/>
    </row>
    <row r="192" spans="2:8" x14ac:dyDescent="0.3">
      <c r="F192" s="97"/>
    </row>
    <row r="193" spans="2:11" ht="18.600000000000001" thickBot="1" x14ac:dyDescent="0.35">
      <c r="B193" s="76" t="s">
        <v>10</v>
      </c>
      <c r="C193" s="77"/>
      <c r="D193" s="77"/>
      <c r="E193" s="77"/>
      <c r="F193" s="77"/>
      <c r="G193" s="77"/>
      <c r="H193" s="77"/>
      <c r="I193" s="77"/>
      <c r="J193" s="77"/>
    </row>
    <row r="195" spans="2:11" x14ac:dyDescent="0.3">
      <c r="B195" s="408" t="s">
        <v>436</v>
      </c>
      <c r="C195" s="408"/>
      <c r="D195" s="62">
        <f>'Infos zone€'!G15</f>
        <v>18</v>
      </c>
    </row>
    <row r="196" spans="2:11" x14ac:dyDescent="0.3">
      <c r="B196" s="408" t="s">
        <v>330</v>
      </c>
      <c r="C196" s="408"/>
      <c r="D196">
        <v>630</v>
      </c>
    </row>
    <row r="197" spans="2:11" x14ac:dyDescent="0.3">
      <c r="B197" s="405" t="s">
        <v>438</v>
      </c>
      <c r="C197" s="405"/>
      <c r="D197" s="63">
        <f>D196/D195</f>
        <v>35</v>
      </c>
    </row>
    <row r="199" spans="2:11" ht="28.8" x14ac:dyDescent="0.3">
      <c r="B199" s="31" t="s">
        <v>327</v>
      </c>
      <c r="C199" s="32" t="s">
        <v>331</v>
      </c>
      <c r="D199" s="32" t="s">
        <v>439</v>
      </c>
      <c r="E199" s="402">
        <f>C213</f>
        <v>6</v>
      </c>
      <c r="F199" s="402"/>
      <c r="G199" s="402"/>
      <c r="H199" s="402"/>
      <c r="I199" s="402"/>
      <c r="J199" s="403"/>
      <c r="K199" s="67" t="s">
        <v>332</v>
      </c>
    </row>
    <row r="200" spans="2:11" x14ac:dyDescent="0.3">
      <c r="B200" s="84" t="s">
        <v>193</v>
      </c>
      <c r="C200" s="82">
        <v>285</v>
      </c>
      <c r="D200" s="82">
        <f t="shared" ref="D200:D211" si="24">TRUNC(C200/$D$197)</f>
        <v>8</v>
      </c>
      <c r="E200" s="83">
        <f>C200/(D200+1)</f>
        <v>31.666666666666668</v>
      </c>
      <c r="F200" s="83">
        <f>C200/(D200+1+1)</f>
        <v>28.5</v>
      </c>
      <c r="G200" s="83">
        <f>C200/(D200+1+1)</f>
        <v>28.5</v>
      </c>
      <c r="H200" s="83">
        <f>C200/(D200+1+1+1)</f>
        <v>25.90909090909091</v>
      </c>
      <c r="I200" s="83">
        <f>C200/(D200+1+1+1)</f>
        <v>25.90909090909091</v>
      </c>
      <c r="J200" s="83">
        <f>C200/(D200+1+1+1+1)</f>
        <v>23.75</v>
      </c>
      <c r="K200" s="117">
        <v>11</v>
      </c>
    </row>
    <row r="201" spans="2:11" x14ac:dyDescent="0.3">
      <c r="B201" s="78" t="s">
        <v>194</v>
      </c>
      <c r="C201" s="16">
        <v>91</v>
      </c>
      <c r="D201" s="16">
        <f t="shared" si="24"/>
        <v>2</v>
      </c>
      <c r="E201" s="81">
        <f t="shared" ref="E201:E210" si="25">C201/(D201+1)</f>
        <v>30.333333333333332</v>
      </c>
      <c r="F201" s="81">
        <f t="shared" ref="F201:F210" si="26">C201/(D201+1)</f>
        <v>30.333333333333332</v>
      </c>
      <c r="G201" s="81">
        <f>C201/(D201+1+1)</f>
        <v>22.75</v>
      </c>
      <c r="H201" s="81">
        <f>C201/(D201+1+1)</f>
        <v>22.75</v>
      </c>
      <c r="I201" s="81">
        <f>H201</f>
        <v>22.75</v>
      </c>
      <c r="J201" s="81">
        <f>I201</f>
        <v>22.75</v>
      </c>
      <c r="K201" s="118">
        <v>3</v>
      </c>
    </row>
    <row r="202" spans="2:11" x14ac:dyDescent="0.3">
      <c r="B202" s="84" t="s">
        <v>195</v>
      </c>
      <c r="C202" s="82">
        <v>50</v>
      </c>
      <c r="D202" s="82">
        <f t="shared" si="24"/>
        <v>1</v>
      </c>
      <c r="E202" s="82">
        <f t="shared" si="25"/>
        <v>25</v>
      </c>
      <c r="F202" s="82">
        <f t="shared" si="26"/>
        <v>25</v>
      </c>
      <c r="G202" s="82">
        <f>C202/(D202+1)</f>
        <v>25</v>
      </c>
      <c r="H202" s="82">
        <f>G202</f>
        <v>25</v>
      </c>
      <c r="I202" s="82">
        <f t="shared" ref="I202:J210" si="27">H202</f>
        <v>25</v>
      </c>
      <c r="J202" s="82">
        <f t="shared" si="27"/>
        <v>25</v>
      </c>
      <c r="K202" s="119">
        <v>2</v>
      </c>
    </row>
    <row r="203" spans="2:11" x14ac:dyDescent="0.3">
      <c r="B203" s="211" t="s">
        <v>626</v>
      </c>
      <c r="C203" s="16">
        <v>36</v>
      </c>
      <c r="D203" s="16">
        <f t="shared" si="24"/>
        <v>1</v>
      </c>
      <c r="E203" s="16">
        <f>C203/(D203+1)</f>
        <v>18</v>
      </c>
      <c r="F203" s="16">
        <f>C203/(D203+1)</f>
        <v>18</v>
      </c>
      <c r="G203" s="16">
        <f>C203/(D203+1)</f>
        <v>18</v>
      </c>
      <c r="H203" s="16">
        <f>G203</f>
        <v>18</v>
      </c>
      <c r="I203" s="16">
        <f>H203</f>
        <v>18</v>
      </c>
      <c r="J203" s="16">
        <f>I203</f>
        <v>18</v>
      </c>
      <c r="K203" s="118">
        <v>1</v>
      </c>
    </row>
    <row r="204" spans="2:11" x14ac:dyDescent="0.3">
      <c r="B204" s="11" t="s">
        <v>196</v>
      </c>
      <c r="C204" s="82">
        <v>15</v>
      </c>
      <c r="D204" s="82">
        <f t="shared" si="24"/>
        <v>0</v>
      </c>
      <c r="E204" s="82">
        <f t="shared" si="25"/>
        <v>15</v>
      </c>
      <c r="F204" s="82">
        <f t="shared" si="26"/>
        <v>15</v>
      </c>
      <c r="G204" s="82">
        <f>F204</f>
        <v>15</v>
      </c>
      <c r="H204" s="82">
        <f t="shared" ref="H204:H210" si="28">G204</f>
        <v>15</v>
      </c>
      <c r="I204" s="82">
        <f t="shared" si="27"/>
        <v>15</v>
      </c>
      <c r="J204" s="82">
        <f t="shared" si="27"/>
        <v>15</v>
      </c>
      <c r="K204" s="119">
        <v>0</v>
      </c>
    </row>
    <row r="205" spans="2:11" x14ac:dyDescent="0.3">
      <c r="B205" s="211" t="s">
        <v>197</v>
      </c>
      <c r="C205" s="16">
        <v>26</v>
      </c>
      <c r="D205" s="16">
        <f t="shared" si="24"/>
        <v>0</v>
      </c>
      <c r="E205" s="16">
        <f t="shared" si="25"/>
        <v>26</v>
      </c>
      <c r="F205" s="16">
        <f t="shared" si="26"/>
        <v>26</v>
      </c>
      <c r="G205" s="16">
        <f t="shared" ref="G205:G210" si="29">C205/(D205+1)</f>
        <v>26</v>
      </c>
      <c r="H205" s="16">
        <f t="shared" si="28"/>
        <v>26</v>
      </c>
      <c r="I205" s="16">
        <f>C205/(D205+1+1)</f>
        <v>13</v>
      </c>
      <c r="J205" s="16">
        <f t="shared" si="27"/>
        <v>13</v>
      </c>
      <c r="K205" s="118">
        <v>1</v>
      </c>
    </row>
    <row r="206" spans="2:11" x14ac:dyDescent="0.3">
      <c r="B206" s="84" t="s">
        <v>198</v>
      </c>
      <c r="C206" s="82">
        <v>16</v>
      </c>
      <c r="D206" s="82">
        <f t="shared" si="24"/>
        <v>0</v>
      </c>
      <c r="E206" s="82">
        <f t="shared" si="25"/>
        <v>16</v>
      </c>
      <c r="F206" s="82">
        <f t="shared" si="26"/>
        <v>16</v>
      </c>
      <c r="G206" s="82">
        <f t="shared" si="29"/>
        <v>16</v>
      </c>
      <c r="H206" s="82">
        <f t="shared" si="28"/>
        <v>16</v>
      </c>
      <c r="I206" s="82">
        <f t="shared" si="27"/>
        <v>16</v>
      </c>
      <c r="J206" s="82">
        <f t="shared" si="27"/>
        <v>16</v>
      </c>
      <c r="K206" s="119">
        <v>0</v>
      </c>
    </row>
    <row r="207" spans="2:11" x14ac:dyDescent="0.3">
      <c r="B207" s="211" t="s">
        <v>199</v>
      </c>
      <c r="C207" s="16">
        <v>19</v>
      </c>
      <c r="D207" s="16">
        <f t="shared" si="24"/>
        <v>0</v>
      </c>
      <c r="E207" s="16">
        <f t="shared" si="25"/>
        <v>19</v>
      </c>
      <c r="F207" s="16">
        <f t="shared" si="26"/>
        <v>19</v>
      </c>
      <c r="G207" s="16">
        <f t="shared" si="29"/>
        <v>19</v>
      </c>
      <c r="H207" s="16">
        <f t="shared" si="28"/>
        <v>19</v>
      </c>
      <c r="I207" s="16">
        <f t="shared" si="27"/>
        <v>19</v>
      </c>
      <c r="J207" s="16">
        <f t="shared" si="27"/>
        <v>19</v>
      </c>
      <c r="K207" s="118">
        <v>0</v>
      </c>
    </row>
    <row r="208" spans="2:11" x14ac:dyDescent="0.3">
      <c r="B208" s="84" t="s">
        <v>203</v>
      </c>
      <c r="C208" s="82">
        <v>16</v>
      </c>
      <c r="D208" s="82">
        <f t="shared" si="24"/>
        <v>0</v>
      </c>
      <c r="E208" s="82">
        <f t="shared" si="25"/>
        <v>16</v>
      </c>
      <c r="F208" s="82">
        <f t="shared" si="26"/>
        <v>16</v>
      </c>
      <c r="G208" s="82">
        <f t="shared" si="29"/>
        <v>16</v>
      </c>
      <c r="H208" s="82">
        <f t="shared" si="28"/>
        <v>16</v>
      </c>
      <c r="I208" s="82">
        <f t="shared" si="27"/>
        <v>16</v>
      </c>
      <c r="J208" s="82">
        <f t="shared" si="27"/>
        <v>16</v>
      </c>
      <c r="K208" s="119">
        <v>0</v>
      </c>
    </row>
    <row r="209" spans="2:12" x14ac:dyDescent="0.3">
      <c r="B209" s="211" t="s">
        <v>200</v>
      </c>
      <c r="C209" s="124">
        <v>14</v>
      </c>
      <c r="D209" s="124">
        <f t="shared" si="24"/>
        <v>0</v>
      </c>
      <c r="E209" s="124">
        <f t="shared" si="25"/>
        <v>14</v>
      </c>
      <c r="F209" s="124">
        <f t="shared" si="26"/>
        <v>14</v>
      </c>
      <c r="G209" s="124">
        <f t="shared" si="29"/>
        <v>14</v>
      </c>
      <c r="H209" s="124">
        <f t="shared" si="28"/>
        <v>14</v>
      </c>
      <c r="I209" s="124">
        <f t="shared" si="27"/>
        <v>14</v>
      </c>
      <c r="J209" s="124">
        <f t="shared" si="27"/>
        <v>14</v>
      </c>
      <c r="K209" s="118">
        <v>0</v>
      </c>
    </row>
    <row r="210" spans="2:12" x14ac:dyDescent="0.3">
      <c r="B210" s="11" t="s">
        <v>201</v>
      </c>
      <c r="C210" s="223">
        <v>11</v>
      </c>
      <c r="D210" s="223">
        <f t="shared" si="24"/>
        <v>0</v>
      </c>
      <c r="E210" s="223">
        <f t="shared" si="25"/>
        <v>11</v>
      </c>
      <c r="F210" s="223">
        <f t="shared" si="26"/>
        <v>11</v>
      </c>
      <c r="G210" s="223">
        <f t="shared" si="29"/>
        <v>11</v>
      </c>
      <c r="H210" s="223">
        <f t="shared" si="28"/>
        <v>11</v>
      </c>
      <c r="I210" s="223">
        <f t="shared" si="27"/>
        <v>11</v>
      </c>
      <c r="J210" s="223">
        <f t="shared" si="27"/>
        <v>11</v>
      </c>
      <c r="K210" s="119">
        <v>0</v>
      </c>
    </row>
    <row r="211" spans="2:12" x14ac:dyDescent="0.3">
      <c r="B211" s="85" t="s">
        <v>109</v>
      </c>
      <c r="C211" s="128">
        <v>51</v>
      </c>
      <c r="D211" s="128">
        <f t="shared" si="24"/>
        <v>1</v>
      </c>
      <c r="E211" s="129"/>
      <c r="F211" s="129"/>
      <c r="G211" s="129"/>
      <c r="H211" s="129"/>
      <c r="I211" s="129"/>
      <c r="J211" s="129"/>
      <c r="K211" s="130"/>
    </row>
    <row r="212" spans="2:12" x14ac:dyDescent="0.3">
      <c r="C212" s="401">
        <f>SUM(D200:D210)</f>
        <v>12</v>
      </c>
      <c r="D212" s="401"/>
      <c r="K212" s="122">
        <f>SUM(K200:K210)</f>
        <v>18</v>
      </c>
    </row>
    <row r="213" spans="2:12" x14ac:dyDescent="0.3">
      <c r="C213" s="404">
        <f>D195-C212</f>
        <v>6</v>
      </c>
      <c r="D213" s="404"/>
      <c r="K213" s="97" t="s">
        <v>447</v>
      </c>
    </row>
    <row r="214" spans="2:12" x14ac:dyDescent="0.3">
      <c r="L214" s="97"/>
    </row>
    <row r="215" spans="2:12" x14ac:dyDescent="0.3">
      <c r="L215" s="97"/>
    </row>
    <row r="216" spans="2:12" ht="18.600000000000001" thickBot="1" x14ac:dyDescent="0.35">
      <c r="B216" s="76" t="s">
        <v>18</v>
      </c>
      <c r="C216" s="77"/>
      <c r="D216" s="77"/>
      <c r="E216" s="77"/>
      <c r="F216" s="77"/>
    </row>
    <row r="218" spans="2:12" x14ac:dyDescent="0.3">
      <c r="B218" s="408" t="s">
        <v>436</v>
      </c>
      <c r="C218" s="408"/>
      <c r="D218" s="62">
        <f>'Infos zone€'!G16</f>
        <v>1</v>
      </c>
    </row>
    <row r="219" spans="2:12" x14ac:dyDescent="0.3">
      <c r="B219" s="408" t="s">
        <v>330</v>
      </c>
      <c r="C219" s="408"/>
      <c r="D219">
        <v>100</v>
      </c>
    </row>
    <row r="220" spans="2:12" x14ac:dyDescent="0.3">
      <c r="B220" s="405" t="s">
        <v>438</v>
      </c>
      <c r="C220" s="405"/>
      <c r="D220" s="63">
        <f>D219/D218</f>
        <v>100</v>
      </c>
    </row>
    <row r="222" spans="2:12" ht="28.8" x14ac:dyDescent="0.3">
      <c r="B222" s="31" t="s">
        <v>327</v>
      </c>
      <c r="C222" s="32" t="s">
        <v>331</v>
      </c>
      <c r="D222" s="32" t="s">
        <v>442</v>
      </c>
      <c r="E222" s="79" t="s">
        <v>448</v>
      </c>
      <c r="F222" s="67" t="s">
        <v>332</v>
      </c>
    </row>
    <row r="223" spans="2:12" x14ac:dyDescent="0.3">
      <c r="B223" s="84" t="s">
        <v>219</v>
      </c>
      <c r="C223" s="82">
        <v>24</v>
      </c>
      <c r="D223" s="83">
        <f t="shared" ref="D223:D229" si="30">C223/$D$220</f>
        <v>0.24</v>
      </c>
      <c r="E223" s="86">
        <v>1</v>
      </c>
      <c r="F223" s="182">
        <f t="shared" ref="F223:F228" si="31">E223</f>
        <v>1</v>
      </c>
    </row>
    <row r="224" spans="2:12" x14ac:dyDescent="0.3">
      <c r="B224" s="78" t="s">
        <v>356</v>
      </c>
      <c r="C224" s="16">
        <v>23</v>
      </c>
      <c r="D224" s="81">
        <f t="shared" si="30"/>
        <v>0.23</v>
      </c>
      <c r="E224" s="93">
        <v>0</v>
      </c>
      <c r="F224" s="94">
        <f t="shared" si="31"/>
        <v>0</v>
      </c>
    </row>
    <row r="225" spans="2:6" x14ac:dyDescent="0.3">
      <c r="B225" s="84" t="s">
        <v>357</v>
      </c>
      <c r="C225" s="82">
        <v>21</v>
      </c>
      <c r="D225" s="83">
        <f t="shared" si="30"/>
        <v>0.21</v>
      </c>
      <c r="E225" s="95">
        <v>0</v>
      </c>
      <c r="F225" s="96">
        <f t="shared" si="31"/>
        <v>0</v>
      </c>
    </row>
    <row r="226" spans="2:6" x14ac:dyDescent="0.3">
      <c r="B226" s="78" t="s">
        <v>358</v>
      </c>
      <c r="C226" s="16">
        <v>17</v>
      </c>
      <c r="D226" s="81">
        <f t="shared" si="30"/>
        <v>0.17</v>
      </c>
      <c r="E226" s="16">
        <v>0</v>
      </c>
      <c r="F226" s="88">
        <f t="shared" si="31"/>
        <v>0</v>
      </c>
    </row>
    <row r="227" spans="2:6" x14ac:dyDescent="0.3">
      <c r="B227" s="84" t="s">
        <v>220</v>
      </c>
      <c r="C227" s="82">
        <v>7</v>
      </c>
      <c r="D227" s="83">
        <f t="shared" si="30"/>
        <v>7.0000000000000007E-2</v>
      </c>
      <c r="E227" s="82">
        <v>0</v>
      </c>
      <c r="F227" s="89">
        <f t="shared" si="31"/>
        <v>0</v>
      </c>
    </row>
    <row r="228" spans="2:6" x14ac:dyDescent="0.3">
      <c r="B228" s="78" t="s">
        <v>221</v>
      </c>
      <c r="C228" s="16">
        <v>7</v>
      </c>
      <c r="D228" s="81">
        <f t="shared" si="30"/>
        <v>7.0000000000000007E-2</v>
      </c>
      <c r="E228" s="124">
        <v>0</v>
      </c>
      <c r="F228" s="88">
        <f t="shared" si="31"/>
        <v>0</v>
      </c>
    </row>
    <row r="229" spans="2:6" x14ac:dyDescent="0.3">
      <c r="B229" s="98" t="s">
        <v>222</v>
      </c>
      <c r="C229" s="90">
        <v>1</v>
      </c>
      <c r="D229" s="92">
        <f t="shared" si="30"/>
        <v>0.01</v>
      </c>
      <c r="E229" s="90">
        <v>0</v>
      </c>
      <c r="F229" s="91">
        <f t="shared" ref="F229" si="32">E229</f>
        <v>0</v>
      </c>
    </row>
    <row r="230" spans="2:6" x14ac:dyDescent="0.3">
      <c r="C230" s="401">
        <v>0</v>
      </c>
      <c r="D230" s="401"/>
      <c r="F230" s="75">
        <f>SUM(F223:F228)</f>
        <v>1</v>
      </c>
    </row>
    <row r="231" spans="2:6" x14ac:dyDescent="0.3">
      <c r="C231" s="404">
        <f>D218-C230</f>
        <v>1</v>
      </c>
      <c r="D231" s="404"/>
      <c r="F231" s="97" t="s">
        <v>454</v>
      </c>
    </row>
    <row r="232" spans="2:6" x14ac:dyDescent="0.3">
      <c r="C232" s="131"/>
      <c r="D232" s="131"/>
      <c r="E232" s="12"/>
    </row>
    <row r="233" spans="2:6" x14ac:dyDescent="0.3">
      <c r="C233" s="131"/>
      <c r="D233" s="131"/>
      <c r="E233" s="12"/>
    </row>
    <row r="234" spans="2:6" ht="18.600000000000001" thickBot="1" x14ac:dyDescent="0.35">
      <c r="B234" s="76" t="s">
        <v>19</v>
      </c>
      <c r="C234" s="77"/>
      <c r="D234" s="77"/>
      <c r="E234" s="77"/>
      <c r="F234" s="77"/>
    </row>
    <row r="236" spans="2:6" x14ac:dyDescent="0.3">
      <c r="B236" s="408" t="s">
        <v>436</v>
      </c>
      <c r="C236" s="408"/>
      <c r="D236">
        <v>1</v>
      </c>
    </row>
    <row r="237" spans="2:6" x14ac:dyDescent="0.3">
      <c r="B237" s="408" t="s">
        <v>330</v>
      </c>
      <c r="C237" s="408"/>
      <c r="D237">
        <v>139</v>
      </c>
    </row>
    <row r="238" spans="2:6" x14ac:dyDescent="0.3">
      <c r="B238" s="405" t="s">
        <v>438</v>
      </c>
      <c r="C238" s="405"/>
      <c r="D238" s="63">
        <f>D237/D236</f>
        <v>139</v>
      </c>
    </row>
    <row r="240" spans="2:6" ht="28.8" x14ac:dyDescent="0.3">
      <c r="B240" s="31" t="s">
        <v>327</v>
      </c>
      <c r="C240" s="32" t="s">
        <v>331</v>
      </c>
      <c r="D240" s="32" t="s">
        <v>442</v>
      </c>
      <c r="E240" s="79" t="s">
        <v>448</v>
      </c>
      <c r="F240" s="67" t="s">
        <v>332</v>
      </c>
    </row>
    <row r="241" spans="2:6" x14ac:dyDescent="0.3">
      <c r="B241" s="84" t="s">
        <v>359</v>
      </c>
      <c r="C241" s="82">
        <v>56</v>
      </c>
      <c r="D241" s="83">
        <f t="shared" ref="D241:D247" si="33">C241/$D$238</f>
        <v>0.40287769784172661</v>
      </c>
      <c r="E241" s="86">
        <v>1</v>
      </c>
      <c r="F241" s="182">
        <f t="shared" ref="F241:F246" si="34">E241</f>
        <v>1</v>
      </c>
    </row>
    <row r="242" spans="2:6" x14ac:dyDescent="0.3">
      <c r="B242" s="78" t="s">
        <v>233</v>
      </c>
      <c r="C242" s="16">
        <v>31</v>
      </c>
      <c r="D242" s="132">
        <f t="shared" si="33"/>
        <v>0.22302158273381295</v>
      </c>
      <c r="E242" s="93">
        <v>0</v>
      </c>
      <c r="F242" s="94">
        <f t="shared" si="34"/>
        <v>0</v>
      </c>
    </row>
    <row r="243" spans="2:6" x14ac:dyDescent="0.3">
      <c r="B243" s="84" t="s">
        <v>360</v>
      </c>
      <c r="C243" s="82">
        <v>19</v>
      </c>
      <c r="D243" s="83">
        <f t="shared" si="33"/>
        <v>0.1366906474820144</v>
      </c>
      <c r="E243" s="95">
        <v>0</v>
      </c>
      <c r="F243" s="96">
        <f t="shared" si="34"/>
        <v>0</v>
      </c>
    </row>
    <row r="244" spans="2:6" x14ac:dyDescent="0.3">
      <c r="B244" s="78" t="s">
        <v>237</v>
      </c>
      <c r="C244" s="16">
        <v>14</v>
      </c>
      <c r="D244" s="132">
        <f t="shared" si="33"/>
        <v>0.10071942446043165</v>
      </c>
      <c r="E244" s="16">
        <v>0</v>
      </c>
      <c r="F244" s="88">
        <f t="shared" si="34"/>
        <v>0</v>
      </c>
    </row>
    <row r="245" spans="2:6" x14ac:dyDescent="0.3">
      <c r="B245" s="84" t="s">
        <v>239</v>
      </c>
      <c r="C245" s="82">
        <v>8</v>
      </c>
      <c r="D245" s="83">
        <f t="shared" si="33"/>
        <v>5.7553956834532377E-2</v>
      </c>
      <c r="E245" s="82">
        <v>0</v>
      </c>
      <c r="F245" s="89">
        <f t="shared" si="34"/>
        <v>0</v>
      </c>
    </row>
    <row r="246" spans="2:6" x14ac:dyDescent="0.3">
      <c r="B246" s="78" t="s">
        <v>241</v>
      </c>
      <c r="C246" s="16">
        <v>8</v>
      </c>
      <c r="D246" s="132">
        <f t="shared" si="33"/>
        <v>5.7553956834532377E-2</v>
      </c>
      <c r="E246" s="124">
        <v>0</v>
      </c>
      <c r="F246" s="88">
        <f t="shared" si="34"/>
        <v>0</v>
      </c>
    </row>
    <row r="247" spans="2:6" x14ac:dyDescent="0.3">
      <c r="B247" s="98" t="s">
        <v>243</v>
      </c>
      <c r="C247" s="90">
        <v>3</v>
      </c>
      <c r="D247" s="92">
        <f t="shared" si="33"/>
        <v>2.1582733812949641E-2</v>
      </c>
      <c r="E247" s="90">
        <v>0</v>
      </c>
      <c r="F247" s="91">
        <v>0</v>
      </c>
    </row>
    <row r="248" spans="2:6" x14ac:dyDescent="0.3">
      <c r="C248" s="401">
        <v>0</v>
      </c>
      <c r="D248" s="401"/>
      <c r="F248" s="75">
        <f>SUM(F241:F246)</f>
        <v>1</v>
      </c>
    </row>
    <row r="249" spans="2:6" x14ac:dyDescent="0.3">
      <c r="C249" s="404">
        <f>D236-C248</f>
        <v>1</v>
      </c>
      <c r="D249" s="404"/>
      <c r="F249" s="97" t="s">
        <v>454</v>
      </c>
    </row>
    <row r="252" spans="2:6" ht="18.600000000000001" thickBot="1" x14ac:dyDescent="0.35">
      <c r="B252" s="76" t="s">
        <v>11</v>
      </c>
      <c r="C252" s="77"/>
      <c r="D252" s="77"/>
      <c r="E252" s="77"/>
      <c r="F252" s="77"/>
    </row>
    <row r="254" spans="2:6" x14ac:dyDescent="0.3">
      <c r="B254" s="408" t="s">
        <v>436</v>
      </c>
      <c r="C254" s="408"/>
      <c r="D254">
        <v>1</v>
      </c>
    </row>
    <row r="255" spans="2:6" x14ac:dyDescent="0.3">
      <c r="B255" s="408" t="s">
        <v>330</v>
      </c>
      <c r="C255" s="408"/>
      <c r="D255">
        <v>60</v>
      </c>
    </row>
    <row r="256" spans="2:6" x14ac:dyDescent="0.3">
      <c r="B256" s="405" t="s">
        <v>438</v>
      </c>
      <c r="C256" s="405"/>
      <c r="D256" s="63">
        <f>D255/D254</f>
        <v>60</v>
      </c>
    </row>
    <row r="258" spans="2:6" ht="28.8" x14ac:dyDescent="0.3">
      <c r="B258" s="31" t="s">
        <v>327</v>
      </c>
      <c r="C258" s="32" t="s">
        <v>331</v>
      </c>
      <c r="D258" s="32" t="s">
        <v>442</v>
      </c>
      <c r="E258" s="79" t="s">
        <v>448</v>
      </c>
      <c r="F258" s="67" t="s">
        <v>332</v>
      </c>
    </row>
    <row r="259" spans="2:6" x14ac:dyDescent="0.3">
      <c r="B259" s="84" t="s">
        <v>246</v>
      </c>
      <c r="C259" s="82">
        <v>23</v>
      </c>
      <c r="D259" s="83">
        <f t="shared" ref="D259:D264" si="35">C259/$D$256</f>
        <v>0.38333333333333336</v>
      </c>
      <c r="E259" s="86">
        <v>1</v>
      </c>
      <c r="F259" s="182">
        <f t="shared" ref="F259:F264" si="36">E259</f>
        <v>1</v>
      </c>
    </row>
    <row r="260" spans="2:6" x14ac:dyDescent="0.3">
      <c r="B260" s="78" t="s">
        <v>361</v>
      </c>
      <c r="C260" s="16">
        <v>13</v>
      </c>
      <c r="D260" s="132">
        <f t="shared" si="35"/>
        <v>0.21666666666666667</v>
      </c>
      <c r="E260" s="93">
        <v>0</v>
      </c>
      <c r="F260" s="94">
        <f t="shared" si="36"/>
        <v>0</v>
      </c>
    </row>
    <row r="261" spans="2:6" x14ac:dyDescent="0.3">
      <c r="B261" s="84" t="s">
        <v>362</v>
      </c>
      <c r="C261" s="82">
        <v>13</v>
      </c>
      <c r="D261" s="83">
        <f t="shared" si="35"/>
        <v>0.21666666666666667</v>
      </c>
      <c r="E261" s="95">
        <v>0</v>
      </c>
      <c r="F261" s="96">
        <f t="shared" si="36"/>
        <v>0</v>
      </c>
    </row>
    <row r="262" spans="2:6" x14ac:dyDescent="0.3">
      <c r="B262" s="78" t="s">
        <v>363</v>
      </c>
      <c r="C262" s="16">
        <v>6</v>
      </c>
      <c r="D262" s="132">
        <f t="shared" si="35"/>
        <v>0.1</v>
      </c>
      <c r="E262" s="16">
        <v>0</v>
      </c>
      <c r="F262" s="88">
        <f t="shared" si="36"/>
        <v>0</v>
      </c>
    </row>
    <row r="263" spans="2:6" x14ac:dyDescent="0.3">
      <c r="B263" s="84" t="s">
        <v>247</v>
      </c>
      <c r="C263" s="82">
        <v>3</v>
      </c>
      <c r="D263" s="83">
        <f t="shared" si="35"/>
        <v>0.05</v>
      </c>
      <c r="E263" s="82">
        <v>0</v>
      </c>
      <c r="F263" s="89">
        <f t="shared" si="36"/>
        <v>0</v>
      </c>
    </row>
    <row r="264" spans="2:6" x14ac:dyDescent="0.3">
      <c r="B264" s="107" t="s">
        <v>248</v>
      </c>
      <c r="C264" s="104">
        <v>2</v>
      </c>
      <c r="D264" s="133">
        <f t="shared" si="35"/>
        <v>3.3333333333333333E-2</v>
      </c>
      <c r="E264" s="104">
        <v>0</v>
      </c>
      <c r="F264" s="106">
        <f t="shared" si="36"/>
        <v>0</v>
      </c>
    </row>
    <row r="265" spans="2:6" x14ac:dyDescent="0.3">
      <c r="C265" s="401">
        <v>0</v>
      </c>
      <c r="D265" s="401"/>
      <c r="F265" s="75">
        <f>SUM(F258:F263)</f>
        <v>1</v>
      </c>
    </row>
    <row r="266" spans="2:6" x14ac:dyDescent="0.3">
      <c r="C266" s="404">
        <f>D254-C265</f>
        <v>1</v>
      </c>
      <c r="D266" s="404"/>
      <c r="F266" s="97" t="s">
        <v>454</v>
      </c>
    </row>
    <row r="267" spans="2:6" x14ac:dyDescent="0.3">
      <c r="F267" s="97"/>
    </row>
    <row r="268" spans="2:6" x14ac:dyDescent="0.3">
      <c r="F268" s="97"/>
    </row>
    <row r="269" spans="2:6" ht="18.600000000000001" thickBot="1" x14ac:dyDescent="0.35">
      <c r="B269" s="76" t="s">
        <v>15</v>
      </c>
      <c r="C269" s="77"/>
      <c r="D269" s="77"/>
      <c r="E269" s="77"/>
      <c r="F269" s="77"/>
    </row>
    <row r="271" spans="2:6" x14ac:dyDescent="0.3">
      <c r="B271" s="408" t="s">
        <v>436</v>
      </c>
      <c r="C271" s="408"/>
      <c r="D271">
        <v>1</v>
      </c>
    </row>
    <row r="272" spans="2:6" x14ac:dyDescent="0.3">
      <c r="B272" s="408" t="s">
        <v>330</v>
      </c>
      <c r="C272" s="408"/>
      <c r="D272">
        <v>71</v>
      </c>
    </row>
    <row r="273" spans="2:8" x14ac:dyDescent="0.3">
      <c r="B273" s="405" t="s">
        <v>438</v>
      </c>
      <c r="C273" s="405"/>
      <c r="D273" s="63">
        <f>D272/D271</f>
        <v>71</v>
      </c>
    </row>
    <row r="275" spans="2:8" ht="28.8" x14ac:dyDescent="0.3">
      <c r="B275" s="31" t="s">
        <v>327</v>
      </c>
      <c r="C275" s="32" t="s">
        <v>331</v>
      </c>
      <c r="D275" s="32" t="s">
        <v>442</v>
      </c>
      <c r="E275" s="79" t="s">
        <v>448</v>
      </c>
      <c r="F275" s="67" t="s">
        <v>332</v>
      </c>
    </row>
    <row r="276" spans="2:8" x14ac:dyDescent="0.3">
      <c r="B276" s="84" t="s">
        <v>364</v>
      </c>
      <c r="C276" s="82">
        <v>38</v>
      </c>
      <c r="D276" s="83">
        <f>C276/$D$273</f>
        <v>0.53521126760563376</v>
      </c>
      <c r="E276" s="86">
        <v>1</v>
      </c>
      <c r="F276" s="182">
        <f t="shared" ref="F276:F278" si="37">E276</f>
        <v>1</v>
      </c>
    </row>
    <row r="277" spans="2:8" x14ac:dyDescent="0.3">
      <c r="B277" s="78" t="s">
        <v>259</v>
      </c>
      <c r="C277" s="16">
        <v>31</v>
      </c>
      <c r="D277" s="132">
        <f>C277/$D$273</f>
        <v>0.43661971830985913</v>
      </c>
      <c r="E277" s="93">
        <v>0</v>
      </c>
      <c r="F277" s="94">
        <f t="shared" si="37"/>
        <v>0</v>
      </c>
    </row>
    <row r="278" spans="2:8" x14ac:dyDescent="0.3">
      <c r="B278" s="98" t="s">
        <v>44</v>
      </c>
      <c r="C278" s="90">
        <v>2</v>
      </c>
      <c r="D278" s="92">
        <f>C278/$D$273</f>
        <v>2.8169014084507043E-2</v>
      </c>
      <c r="E278" s="134">
        <v>0</v>
      </c>
      <c r="F278" s="135">
        <f t="shared" si="37"/>
        <v>0</v>
      </c>
    </row>
    <row r="279" spans="2:8" x14ac:dyDescent="0.3">
      <c r="C279" s="401">
        <v>0</v>
      </c>
      <c r="D279" s="401"/>
      <c r="F279" s="75">
        <f>SUM(F272:F277)</f>
        <v>1</v>
      </c>
    </row>
    <row r="280" spans="2:8" x14ac:dyDescent="0.3">
      <c r="C280" s="404">
        <f>D271-C279</f>
        <v>1</v>
      </c>
      <c r="D280" s="404"/>
      <c r="F280" s="97" t="s">
        <v>454</v>
      </c>
    </row>
    <row r="281" spans="2:8" x14ac:dyDescent="0.3">
      <c r="F281" s="97"/>
    </row>
    <row r="282" spans="2:8" x14ac:dyDescent="0.3">
      <c r="F282" s="97"/>
    </row>
    <row r="283" spans="2:8" ht="18.600000000000001" thickBot="1" x14ac:dyDescent="0.35">
      <c r="B283" s="76" t="s">
        <v>365</v>
      </c>
      <c r="C283" s="77"/>
      <c r="D283" s="77"/>
      <c r="E283" s="77"/>
      <c r="F283" s="77"/>
      <c r="G283" s="77"/>
      <c r="H283" s="77"/>
    </row>
    <row r="285" spans="2:8" x14ac:dyDescent="0.3">
      <c r="B285" s="408" t="s">
        <v>436</v>
      </c>
      <c r="C285" s="408"/>
      <c r="D285" s="62">
        <v>5</v>
      </c>
    </row>
    <row r="286" spans="2:8" x14ac:dyDescent="0.3">
      <c r="B286" s="408" t="s">
        <v>330</v>
      </c>
      <c r="C286" s="408"/>
      <c r="D286">
        <v>150</v>
      </c>
    </row>
    <row r="287" spans="2:8" x14ac:dyDescent="0.3">
      <c r="B287" s="405" t="s">
        <v>438</v>
      </c>
      <c r="C287" s="405"/>
      <c r="D287" s="63">
        <f>D286/D285</f>
        <v>30</v>
      </c>
    </row>
    <row r="289" spans="2:8" ht="28.8" x14ac:dyDescent="0.3">
      <c r="B289" s="31" t="s">
        <v>327</v>
      </c>
      <c r="C289" s="32" t="s">
        <v>331</v>
      </c>
      <c r="D289" s="32" t="s">
        <v>439</v>
      </c>
      <c r="E289" s="402">
        <f>C303</f>
        <v>3</v>
      </c>
      <c r="F289" s="402"/>
      <c r="G289" s="402"/>
      <c r="H289" s="67" t="s">
        <v>332</v>
      </c>
    </row>
    <row r="290" spans="2:8" x14ac:dyDescent="0.3">
      <c r="B290" s="84" t="s">
        <v>366</v>
      </c>
      <c r="C290" s="82">
        <v>40</v>
      </c>
      <c r="D290" s="115">
        <f t="shared" ref="D290:D301" si="38">TRUNC(C290/$D$287)</f>
        <v>1</v>
      </c>
      <c r="E290" s="115">
        <f t="shared" ref="E290:E301" si="39">C290/(D290+1)</f>
        <v>20</v>
      </c>
      <c r="F290" s="83">
        <f>C290/(D290+1+1)</f>
        <v>13.333333333333334</v>
      </c>
      <c r="G290" s="83">
        <f>F290</f>
        <v>13.333333333333334</v>
      </c>
      <c r="H290" s="117">
        <v>2</v>
      </c>
    </row>
    <row r="291" spans="2:8" x14ac:dyDescent="0.3">
      <c r="B291" s="78" t="s">
        <v>367</v>
      </c>
      <c r="C291" s="16">
        <v>35</v>
      </c>
      <c r="D291" s="70">
        <f t="shared" si="38"/>
        <v>1</v>
      </c>
      <c r="E291" s="81">
        <f t="shared" si="39"/>
        <v>17.5</v>
      </c>
      <c r="F291" s="81">
        <f>E291</f>
        <v>17.5</v>
      </c>
      <c r="G291" s="81">
        <f>C291/(D291+1+1)</f>
        <v>11.666666666666666</v>
      </c>
      <c r="H291" s="118">
        <v>2</v>
      </c>
    </row>
    <row r="292" spans="2:8" x14ac:dyDescent="0.3">
      <c r="B292" s="84" t="s">
        <v>264</v>
      </c>
      <c r="C292" s="82">
        <v>15</v>
      </c>
      <c r="D292" s="115">
        <f t="shared" si="38"/>
        <v>0</v>
      </c>
      <c r="E292" s="115">
        <f t="shared" si="39"/>
        <v>15</v>
      </c>
      <c r="F292" s="115">
        <f t="shared" ref="F292:G301" si="40">E292</f>
        <v>15</v>
      </c>
      <c r="G292" s="115">
        <f>F292</f>
        <v>15</v>
      </c>
      <c r="H292" s="119">
        <v>1</v>
      </c>
    </row>
    <row r="293" spans="2:8" x14ac:dyDescent="0.3">
      <c r="B293" s="78" t="s">
        <v>265</v>
      </c>
      <c r="C293" s="16">
        <v>13</v>
      </c>
      <c r="D293" s="70">
        <f t="shared" si="38"/>
        <v>0</v>
      </c>
      <c r="E293" s="70">
        <f t="shared" si="39"/>
        <v>13</v>
      </c>
      <c r="F293" s="70">
        <f t="shared" si="40"/>
        <v>13</v>
      </c>
      <c r="G293" s="70">
        <f t="shared" si="40"/>
        <v>13</v>
      </c>
      <c r="H293" s="118">
        <v>0</v>
      </c>
    </row>
    <row r="294" spans="2:8" x14ac:dyDescent="0.3">
      <c r="B294" s="11" t="s">
        <v>266</v>
      </c>
      <c r="C294" s="82">
        <v>12</v>
      </c>
      <c r="D294" s="115">
        <f t="shared" si="38"/>
        <v>0</v>
      </c>
      <c r="E294" s="115">
        <f t="shared" si="39"/>
        <v>12</v>
      </c>
      <c r="F294" s="115">
        <f t="shared" si="40"/>
        <v>12</v>
      </c>
      <c r="G294" s="115">
        <f t="shared" si="40"/>
        <v>12</v>
      </c>
      <c r="H294" s="119">
        <v>0</v>
      </c>
    </row>
    <row r="295" spans="2:8" x14ac:dyDescent="0.3">
      <c r="B295" s="12" t="s">
        <v>267</v>
      </c>
      <c r="C295" s="16">
        <v>12</v>
      </c>
      <c r="D295" s="70">
        <f t="shared" si="38"/>
        <v>0</v>
      </c>
      <c r="E295" s="70">
        <f t="shared" si="39"/>
        <v>12</v>
      </c>
      <c r="F295" s="70">
        <f t="shared" si="40"/>
        <v>12</v>
      </c>
      <c r="G295" s="70">
        <f t="shared" si="40"/>
        <v>12</v>
      </c>
      <c r="H295" s="118">
        <v>0</v>
      </c>
    </row>
    <row r="296" spans="2:8" x14ac:dyDescent="0.3">
      <c r="B296" s="84" t="s">
        <v>268</v>
      </c>
      <c r="C296" s="82">
        <v>5</v>
      </c>
      <c r="D296" s="115">
        <f t="shared" si="38"/>
        <v>0</v>
      </c>
      <c r="E296" s="115">
        <f t="shared" si="39"/>
        <v>5</v>
      </c>
      <c r="F296" s="115">
        <f t="shared" si="40"/>
        <v>5</v>
      </c>
      <c r="G296" s="115">
        <f t="shared" si="40"/>
        <v>5</v>
      </c>
      <c r="H296" s="119">
        <v>0</v>
      </c>
    </row>
    <row r="297" spans="2:8" x14ac:dyDescent="0.3">
      <c r="B297" s="78" t="s">
        <v>269</v>
      </c>
      <c r="C297" s="16">
        <v>4</v>
      </c>
      <c r="D297" s="70">
        <f t="shared" si="38"/>
        <v>0</v>
      </c>
      <c r="E297" s="70">
        <f t="shared" si="39"/>
        <v>4</v>
      </c>
      <c r="F297" s="70">
        <f t="shared" si="40"/>
        <v>4</v>
      </c>
      <c r="G297" s="70">
        <f t="shared" si="40"/>
        <v>4</v>
      </c>
      <c r="H297" s="118">
        <v>0</v>
      </c>
    </row>
    <row r="298" spans="2:8" x14ac:dyDescent="0.3">
      <c r="B298" s="84" t="s">
        <v>270</v>
      </c>
      <c r="C298" s="82">
        <v>3</v>
      </c>
      <c r="D298" s="115">
        <f t="shared" si="38"/>
        <v>0</v>
      </c>
      <c r="E298" s="115">
        <f t="shared" si="39"/>
        <v>3</v>
      </c>
      <c r="F298" s="115">
        <f t="shared" si="40"/>
        <v>3</v>
      </c>
      <c r="G298" s="115">
        <f t="shared" si="40"/>
        <v>3</v>
      </c>
      <c r="H298" s="119">
        <v>0</v>
      </c>
    </row>
    <row r="299" spans="2:8" x14ac:dyDescent="0.3">
      <c r="B299" s="78" t="s">
        <v>271</v>
      </c>
      <c r="C299" s="16">
        <v>2</v>
      </c>
      <c r="D299" s="70">
        <f t="shared" si="38"/>
        <v>0</v>
      </c>
      <c r="E299" s="70">
        <f t="shared" si="39"/>
        <v>2</v>
      </c>
      <c r="F299" s="70">
        <f t="shared" si="40"/>
        <v>2</v>
      </c>
      <c r="G299" s="70">
        <f t="shared" si="40"/>
        <v>2</v>
      </c>
      <c r="H299" s="118">
        <v>0</v>
      </c>
    </row>
    <row r="300" spans="2:8" x14ac:dyDescent="0.3">
      <c r="B300" s="84" t="s">
        <v>272</v>
      </c>
      <c r="C300" s="82">
        <v>1</v>
      </c>
      <c r="D300" s="115">
        <f t="shared" si="38"/>
        <v>0</v>
      </c>
      <c r="E300" s="115">
        <f t="shared" si="39"/>
        <v>1</v>
      </c>
      <c r="F300" s="115">
        <f t="shared" si="40"/>
        <v>1</v>
      </c>
      <c r="G300" s="115">
        <f t="shared" si="40"/>
        <v>1</v>
      </c>
      <c r="H300" s="119">
        <v>0</v>
      </c>
    </row>
    <row r="301" spans="2:8" x14ac:dyDescent="0.3">
      <c r="B301" s="107" t="s">
        <v>44</v>
      </c>
      <c r="C301" s="104">
        <v>8</v>
      </c>
      <c r="D301" s="126">
        <f t="shared" si="38"/>
        <v>0</v>
      </c>
      <c r="E301" s="126">
        <f t="shared" si="39"/>
        <v>8</v>
      </c>
      <c r="F301" s="126">
        <f t="shared" si="40"/>
        <v>8</v>
      </c>
      <c r="G301" s="126">
        <f t="shared" si="40"/>
        <v>8</v>
      </c>
      <c r="H301" s="136">
        <v>0</v>
      </c>
    </row>
    <row r="302" spans="2:8" x14ac:dyDescent="0.3">
      <c r="C302" s="401">
        <f>SUM(D290:D301)</f>
        <v>2</v>
      </c>
      <c r="D302" s="401"/>
      <c r="H302" s="137">
        <f>SUM(H290:H301)</f>
        <v>5</v>
      </c>
    </row>
    <row r="303" spans="2:8" x14ac:dyDescent="0.3">
      <c r="C303" s="404">
        <f>D285-C302</f>
        <v>3</v>
      </c>
      <c r="D303" s="404"/>
    </row>
    <row r="306" spans="2:6" ht="18.600000000000001" thickBot="1" x14ac:dyDescent="0.35">
      <c r="B306" s="76" t="s">
        <v>13</v>
      </c>
      <c r="C306" s="77"/>
      <c r="D306" s="77"/>
      <c r="E306" s="77"/>
      <c r="F306" s="77"/>
    </row>
    <row r="308" spans="2:6" x14ac:dyDescent="0.3">
      <c r="B308" s="408" t="s">
        <v>436</v>
      </c>
      <c r="C308" s="408"/>
      <c r="D308" s="62">
        <f>'Infos zone€'!G21</f>
        <v>3</v>
      </c>
    </row>
    <row r="309" spans="2:6" x14ac:dyDescent="0.3">
      <c r="B309" s="408" t="s">
        <v>330</v>
      </c>
      <c r="C309" s="408"/>
      <c r="D309">
        <v>230</v>
      </c>
    </row>
    <row r="310" spans="2:6" x14ac:dyDescent="0.3">
      <c r="B310" s="405" t="s">
        <v>438</v>
      </c>
      <c r="C310" s="405"/>
      <c r="D310" s="138">
        <f>D309/D308</f>
        <v>76.666666666666671</v>
      </c>
    </row>
    <row r="312" spans="2:6" ht="28.8" x14ac:dyDescent="0.3">
      <c r="B312" s="31" t="s">
        <v>327</v>
      </c>
      <c r="C312" s="32" t="s">
        <v>331</v>
      </c>
      <c r="D312" s="32" t="s">
        <v>439</v>
      </c>
      <c r="E312" s="79" t="s">
        <v>448</v>
      </c>
      <c r="F312" s="67" t="s">
        <v>332</v>
      </c>
    </row>
    <row r="313" spans="2:6" x14ac:dyDescent="0.3">
      <c r="B313" s="84" t="s">
        <v>287</v>
      </c>
      <c r="C313" s="82">
        <v>89</v>
      </c>
      <c r="D313" s="115">
        <f t="shared" ref="D313:D319" si="41">TRUNC(C313/$D$310)</f>
        <v>1</v>
      </c>
      <c r="E313" s="83">
        <f t="shared" ref="E313:E319" si="42">C313/(D313+1)</f>
        <v>44.5</v>
      </c>
      <c r="F313" s="182">
        <v>2</v>
      </c>
    </row>
    <row r="314" spans="2:6" x14ac:dyDescent="0.3">
      <c r="B314" s="78" t="s">
        <v>368</v>
      </c>
      <c r="C314" s="16">
        <v>86</v>
      </c>
      <c r="D314" s="70">
        <f t="shared" si="41"/>
        <v>1</v>
      </c>
      <c r="E314" s="70">
        <f t="shared" si="42"/>
        <v>43</v>
      </c>
      <c r="F314" s="94">
        <v>1</v>
      </c>
    </row>
    <row r="315" spans="2:6" x14ac:dyDescent="0.3">
      <c r="B315" s="84" t="s">
        <v>369</v>
      </c>
      <c r="C315" s="82">
        <v>19</v>
      </c>
      <c r="D315" s="115">
        <f t="shared" si="41"/>
        <v>0</v>
      </c>
      <c r="E315" s="115">
        <f t="shared" si="42"/>
        <v>19</v>
      </c>
      <c r="F315" s="96">
        <v>0</v>
      </c>
    </row>
    <row r="316" spans="2:6" x14ac:dyDescent="0.3">
      <c r="B316" s="78" t="s">
        <v>288</v>
      </c>
      <c r="C316" s="16">
        <v>18</v>
      </c>
      <c r="D316" s="70">
        <f t="shared" si="41"/>
        <v>0</v>
      </c>
      <c r="E316" s="70">
        <f t="shared" si="42"/>
        <v>18</v>
      </c>
      <c r="F316" s="88">
        <v>0</v>
      </c>
    </row>
    <row r="317" spans="2:6" x14ac:dyDescent="0.3">
      <c r="B317" s="11" t="s">
        <v>370</v>
      </c>
      <c r="C317" s="82">
        <v>15</v>
      </c>
      <c r="D317" s="115">
        <f t="shared" si="41"/>
        <v>0</v>
      </c>
      <c r="E317" s="115">
        <f t="shared" si="42"/>
        <v>15</v>
      </c>
      <c r="F317" s="89">
        <v>0</v>
      </c>
    </row>
    <row r="318" spans="2:6" x14ac:dyDescent="0.3">
      <c r="B318" s="12" t="s">
        <v>371</v>
      </c>
      <c r="C318" s="16">
        <v>2</v>
      </c>
      <c r="D318" s="70">
        <f t="shared" si="41"/>
        <v>0</v>
      </c>
      <c r="E318" s="70">
        <f t="shared" si="42"/>
        <v>2</v>
      </c>
      <c r="F318" s="88">
        <v>0</v>
      </c>
    </row>
    <row r="319" spans="2:6" x14ac:dyDescent="0.3">
      <c r="B319" s="98" t="s">
        <v>289</v>
      </c>
      <c r="C319" s="90">
        <v>1</v>
      </c>
      <c r="D319" s="120">
        <f t="shared" si="41"/>
        <v>0</v>
      </c>
      <c r="E319" s="120">
        <f t="shared" si="42"/>
        <v>1</v>
      </c>
      <c r="F319" s="91">
        <v>0</v>
      </c>
    </row>
    <row r="320" spans="2:6" x14ac:dyDescent="0.3">
      <c r="C320" s="401">
        <f>SUM(D313:D319)</f>
        <v>2</v>
      </c>
      <c r="D320" s="401"/>
      <c r="F320" s="82">
        <f>SUM(F313:F319)</f>
        <v>3</v>
      </c>
    </row>
    <row r="321" spans="2:7" x14ac:dyDescent="0.3">
      <c r="C321" s="404">
        <f>D308-C320</f>
        <v>1</v>
      </c>
      <c r="D321" s="404"/>
    </row>
    <row r="322" spans="2:7" x14ac:dyDescent="0.3">
      <c r="C322" s="131"/>
      <c r="D322" s="131"/>
    </row>
    <row r="323" spans="2:7" x14ac:dyDescent="0.3">
      <c r="C323" s="131"/>
      <c r="D323" s="131"/>
    </row>
    <row r="324" spans="2:7" ht="18.600000000000001" thickBot="1" x14ac:dyDescent="0.35">
      <c r="B324" s="76" t="s">
        <v>16</v>
      </c>
      <c r="C324" s="77"/>
      <c r="D324" s="77"/>
      <c r="E324" s="77"/>
      <c r="F324" s="77"/>
    </row>
    <row r="326" spans="2:7" x14ac:dyDescent="0.3">
      <c r="B326" s="408" t="s">
        <v>436</v>
      </c>
      <c r="C326" s="408"/>
      <c r="D326" s="62">
        <f>'Infos zone€'!G22</f>
        <v>2</v>
      </c>
    </row>
    <row r="327" spans="2:7" x14ac:dyDescent="0.3">
      <c r="B327" s="408" t="s">
        <v>330</v>
      </c>
      <c r="C327" s="408"/>
      <c r="D327">
        <v>150</v>
      </c>
    </row>
    <row r="328" spans="2:7" x14ac:dyDescent="0.3">
      <c r="B328" s="405" t="s">
        <v>438</v>
      </c>
      <c r="C328" s="405"/>
      <c r="D328" s="63">
        <f>D327/D326</f>
        <v>75</v>
      </c>
    </row>
    <row r="330" spans="2:7" ht="28.8" x14ac:dyDescent="0.3">
      <c r="B330" s="31" t="s">
        <v>327</v>
      </c>
      <c r="C330" s="32" t="s">
        <v>331</v>
      </c>
      <c r="D330" s="32" t="s">
        <v>439</v>
      </c>
      <c r="E330" s="406">
        <f>C340</f>
        <v>2</v>
      </c>
      <c r="F330" s="407"/>
      <c r="G330" s="67" t="s">
        <v>332</v>
      </c>
    </row>
    <row r="331" spans="2:7" x14ac:dyDescent="0.3">
      <c r="B331" s="169" t="s">
        <v>372</v>
      </c>
      <c r="C331" s="10">
        <v>49</v>
      </c>
      <c r="D331" s="10">
        <f t="shared" ref="D331:D338" si="43">TRUNC(C331/$D$328)</f>
        <v>0</v>
      </c>
      <c r="E331" s="68">
        <f t="shared" ref="E331:E338" si="44">C331/(D331+1)</f>
        <v>49</v>
      </c>
      <c r="F331" s="68">
        <f>C331/(D331+1+1)</f>
        <v>24.5</v>
      </c>
      <c r="G331" s="72">
        <v>2</v>
      </c>
    </row>
    <row r="332" spans="2:7" x14ac:dyDescent="0.3">
      <c r="B332" s="170" t="s">
        <v>297</v>
      </c>
      <c r="C332" s="13">
        <v>21</v>
      </c>
      <c r="D332" s="13">
        <f t="shared" si="43"/>
        <v>0</v>
      </c>
      <c r="E332" s="141">
        <f t="shared" si="44"/>
        <v>21</v>
      </c>
      <c r="F332" s="141">
        <f t="shared" ref="F332:F338" si="45">C332/(D332+1)</f>
        <v>21</v>
      </c>
      <c r="G332" s="73">
        <v>0</v>
      </c>
    </row>
    <row r="333" spans="2:7" ht="31.2" x14ac:dyDescent="0.3">
      <c r="B333" s="169" t="s">
        <v>298</v>
      </c>
      <c r="C333" s="10">
        <v>19</v>
      </c>
      <c r="D333" s="10">
        <f t="shared" si="43"/>
        <v>0</v>
      </c>
      <c r="E333" s="122">
        <f t="shared" si="44"/>
        <v>19</v>
      </c>
      <c r="F333" s="122">
        <f t="shared" si="45"/>
        <v>19</v>
      </c>
      <c r="G333" s="72">
        <v>0</v>
      </c>
    </row>
    <row r="334" spans="2:7" x14ac:dyDescent="0.3">
      <c r="B334" s="170" t="s">
        <v>373</v>
      </c>
      <c r="C334" s="13">
        <v>15</v>
      </c>
      <c r="D334" s="13">
        <f t="shared" si="43"/>
        <v>0</v>
      </c>
      <c r="E334" s="71">
        <f t="shared" si="44"/>
        <v>15</v>
      </c>
      <c r="F334" s="71">
        <f t="shared" si="45"/>
        <v>15</v>
      </c>
      <c r="G334" s="73">
        <v>0</v>
      </c>
    </row>
    <row r="335" spans="2:7" x14ac:dyDescent="0.3">
      <c r="B335" s="169" t="s">
        <v>299</v>
      </c>
      <c r="C335" s="10">
        <v>14</v>
      </c>
      <c r="D335" s="10">
        <f t="shared" si="43"/>
        <v>0</v>
      </c>
      <c r="E335" s="68">
        <f t="shared" si="44"/>
        <v>14</v>
      </c>
      <c r="F335" s="68">
        <f t="shared" si="45"/>
        <v>14</v>
      </c>
      <c r="G335" s="72">
        <v>0</v>
      </c>
    </row>
    <row r="336" spans="2:7" x14ac:dyDescent="0.3">
      <c r="B336" s="170" t="s">
        <v>374</v>
      </c>
      <c r="C336" s="13">
        <v>11</v>
      </c>
      <c r="D336" s="13">
        <f t="shared" si="43"/>
        <v>0</v>
      </c>
      <c r="E336" s="71">
        <f t="shared" si="44"/>
        <v>11</v>
      </c>
      <c r="F336" s="71">
        <f t="shared" si="45"/>
        <v>11</v>
      </c>
      <c r="G336" s="73">
        <v>0</v>
      </c>
    </row>
    <row r="337" spans="2:7" x14ac:dyDescent="0.3">
      <c r="B337" s="169" t="s">
        <v>300</v>
      </c>
      <c r="C337" s="10">
        <v>11</v>
      </c>
      <c r="D337" s="10">
        <f t="shared" si="43"/>
        <v>0</v>
      </c>
      <c r="E337" s="139">
        <f t="shared" si="44"/>
        <v>11</v>
      </c>
      <c r="F337" s="139">
        <f t="shared" si="45"/>
        <v>11</v>
      </c>
      <c r="G337" s="72">
        <v>0</v>
      </c>
    </row>
    <row r="338" spans="2:7" x14ac:dyDescent="0.3">
      <c r="B338" s="171" t="s">
        <v>375</v>
      </c>
      <c r="C338" s="64">
        <v>10</v>
      </c>
      <c r="D338" s="64">
        <f t="shared" si="43"/>
        <v>0</v>
      </c>
      <c r="E338" s="140">
        <f t="shared" si="44"/>
        <v>10</v>
      </c>
      <c r="F338" s="140">
        <f t="shared" si="45"/>
        <v>10</v>
      </c>
      <c r="G338" s="74">
        <v>0</v>
      </c>
    </row>
    <row r="339" spans="2:7" x14ac:dyDescent="0.3">
      <c r="C339" s="401">
        <f>SUM(D332:D338)</f>
        <v>0</v>
      </c>
      <c r="D339" s="401"/>
      <c r="G339" s="75">
        <f>SUM(G331:G338)</f>
        <v>2</v>
      </c>
    </row>
    <row r="340" spans="2:7" x14ac:dyDescent="0.3">
      <c r="C340" s="404">
        <f>D326-C339</f>
        <v>2</v>
      </c>
      <c r="D340" s="404"/>
    </row>
    <row r="343" spans="2:7" ht="18.600000000000001" thickBot="1" x14ac:dyDescent="0.35">
      <c r="B343" s="76" t="s">
        <v>21</v>
      </c>
      <c r="C343" s="77"/>
      <c r="D343" s="77"/>
      <c r="E343" s="77"/>
      <c r="F343" s="77"/>
    </row>
    <row r="345" spans="2:7" x14ac:dyDescent="0.3">
      <c r="B345" s="408" t="s">
        <v>436</v>
      </c>
      <c r="C345" s="408"/>
      <c r="D345" s="62">
        <f>'Infos zone€'!G23</f>
        <v>1</v>
      </c>
    </row>
    <row r="346" spans="2:7" x14ac:dyDescent="0.3">
      <c r="B346" s="408" t="s">
        <v>330</v>
      </c>
      <c r="C346" s="408"/>
      <c r="D346">
        <v>90</v>
      </c>
    </row>
    <row r="347" spans="2:7" x14ac:dyDescent="0.3">
      <c r="B347" s="405" t="s">
        <v>438</v>
      </c>
      <c r="C347" s="405"/>
      <c r="D347" s="63">
        <f>D346/D345</f>
        <v>90</v>
      </c>
    </row>
    <row r="349" spans="2:7" ht="28.8" x14ac:dyDescent="0.3">
      <c r="B349" s="31" t="s">
        <v>327</v>
      </c>
      <c r="C349" s="32" t="s">
        <v>331</v>
      </c>
      <c r="D349" s="32" t="s">
        <v>439</v>
      </c>
      <c r="E349" s="79" t="s">
        <v>448</v>
      </c>
      <c r="F349" s="67" t="s">
        <v>332</v>
      </c>
    </row>
    <row r="350" spans="2:7" x14ac:dyDescent="0.3">
      <c r="B350" s="84" t="s">
        <v>376</v>
      </c>
      <c r="C350" s="82">
        <v>36</v>
      </c>
      <c r="D350" s="115">
        <v>1</v>
      </c>
      <c r="E350" s="86">
        <v>1</v>
      </c>
      <c r="F350" s="182">
        <v>1</v>
      </c>
    </row>
    <row r="351" spans="2:7" x14ac:dyDescent="0.3">
      <c r="B351" s="78" t="s">
        <v>311</v>
      </c>
      <c r="C351" s="16">
        <v>21</v>
      </c>
      <c r="D351" s="70">
        <v>0</v>
      </c>
      <c r="E351" s="93">
        <v>0</v>
      </c>
      <c r="F351" s="94">
        <v>0</v>
      </c>
    </row>
    <row r="352" spans="2:7" x14ac:dyDescent="0.3">
      <c r="B352" s="84" t="s">
        <v>377</v>
      </c>
      <c r="C352" s="82">
        <v>10</v>
      </c>
      <c r="D352" s="115">
        <v>0</v>
      </c>
      <c r="E352" s="95">
        <v>0</v>
      </c>
      <c r="F352" s="96">
        <v>0</v>
      </c>
    </row>
    <row r="353" spans="2:6" x14ac:dyDescent="0.3">
      <c r="B353" s="78" t="s">
        <v>378</v>
      </c>
      <c r="C353" s="16">
        <v>6</v>
      </c>
      <c r="D353" s="70">
        <v>0</v>
      </c>
      <c r="E353" s="16">
        <v>0</v>
      </c>
      <c r="F353" s="88">
        <v>0</v>
      </c>
    </row>
    <row r="354" spans="2:6" x14ac:dyDescent="0.3">
      <c r="B354" s="11" t="s">
        <v>312</v>
      </c>
      <c r="C354" s="82">
        <v>6</v>
      </c>
      <c r="D354" s="115">
        <v>0</v>
      </c>
      <c r="E354" s="82">
        <v>0</v>
      </c>
      <c r="F354" s="89">
        <v>0</v>
      </c>
    </row>
    <row r="355" spans="2:6" x14ac:dyDescent="0.3">
      <c r="B355" s="78" t="s">
        <v>313</v>
      </c>
      <c r="C355" s="16">
        <v>5</v>
      </c>
      <c r="D355" s="70">
        <v>0</v>
      </c>
      <c r="E355" s="16">
        <v>0</v>
      </c>
      <c r="F355" s="88">
        <v>0</v>
      </c>
    </row>
    <row r="356" spans="2:6" x14ac:dyDescent="0.3">
      <c r="B356" s="11" t="s">
        <v>322</v>
      </c>
      <c r="C356" s="82">
        <v>4</v>
      </c>
      <c r="D356" s="115">
        <v>0</v>
      </c>
      <c r="E356" s="82">
        <v>0</v>
      </c>
      <c r="F356" s="89">
        <v>0</v>
      </c>
    </row>
    <row r="357" spans="2:6" x14ac:dyDescent="0.3">
      <c r="B357" s="107" t="s">
        <v>314</v>
      </c>
      <c r="C357" s="104">
        <v>2</v>
      </c>
      <c r="D357" s="126">
        <v>0</v>
      </c>
      <c r="E357" s="104">
        <v>0</v>
      </c>
      <c r="F357" s="106">
        <v>0</v>
      </c>
    </row>
    <row r="358" spans="2:6" x14ac:dyDescent="0.3">
      <c r="C358" s="401">
        <v>0</v>
      </c>
      <c r="D358" s="401"/>
      <c r="F358" s="75">
        <f>SUM(F350:F357)</f>
        <v>1</v>
      </c>
    </row>
    <row r="359" spans="2:6" x14ac:dyDescent="0.3">
      <c r="C359" s="404">
        <f>D345-C358</f>
        <v>1</v>
      </c>
      <c r="D359" s="404"/>
      <c r="F359" s="97" t="s">
        <v>454</v>
      </c>
    </row>
  </sheetData>
  <mergeCells count="106">
    <mergeCell ref="C58:D58"/>
    <mergeCell ref="C59:D59"/>
    <mergeCell ref="B64:C64"/>
    <mergeCell ref="B7:C7"/>
    <mergeCell ref="B8:C8"/>
    <mergeCell ref="B9:C9"/>
    <mergeCell ref="E11:F11"/>
    <mergeCell ref="C34:D34"/>
    <mergeCell ref="C35:D35"/>
    <mergeCell ref="B40:C40"/>
    <mergeCell ref="B41:C41"/>
    <mergeCell ref="B42:C42"/>
    <mergeCell ref="B24:C24"/>
    <mergeCell ref="B22:C22"/>
    <mergeCell ref="B23:C23"/>
    <mergeCell ref="C16:D16"/>
    <mergeCell ref="C17:D17"/>
    <mergeCell ref="B65:C65"/>
    <mergeCell ref="B66:C66"/>
    <mergeCell ref="C76:D76"/>
    <mergeCell ref="B136:C136"/>
    <mergeCell ref="B137:C137"/>
    <mergeCell ref="B138:C138"/>
    <mergeCell ref="C148:D148"/>
    <mergeCell ref="B117:C117"/>
    <mergeCell ref="B118:C118"/>
    <mergeCell ref="B119:C119"/>
    <mergeCell ref="C77:D77"/>
    <mergeCell ref="B82:C82"/>
    <mergeCell ref="B83:C83"/>
    <mergeCell ref="B84:C84"/>
    <mergeCell ref="C94:D94"/>
    <mergeCell ref="C95:D95"/>
    <mergeCell ref="E86:F86"/>
    <mergeCell ref="B100:C100"/>
    <mergeCell ref="B101:C101"/>
    <mergeCell ref="B102:C102"/>
    <mergeCell ref="B156:C156"/>
    <mergeCell ref="C168:D168"/>
    <mergeCell ref="C169:D169"/>
    <mergeCell ref="E158:F158"/>
    <mergeCell ref="B174:C174"/>
    <mergeCell ref="B175:C175"/>
    <mergeCell ref="C149:D149"/>
    <mergeCell ref="E140:I140"/>
    <mergeCell ref="B154:C154"/>
    <mergeCell ref="B155:C155"/>
    <mergeCell ref="C212:D212"/>
    <mergeCell ref="C213:D213"/>
    <mergeCell ref="B218:C218"/>
    <mergeCell ref="B219:C219"/>
    <mergeCell ref="B176:C176"/>
    <mergeCell ref="C189:D189"/>
    <mergeCell ref="C190:D190"/>
    <mergeCell ref="B195:C195"/>
    <mergeCell ref="B196:C196"/>
    <mergeCell ref="B197:C197"/>
    <mergeCell ref="E199:J199"/>
    <mergeCell ref="C248:D248"/>
    <mergeCell ref="C249:D249"/>
    <mergeCell ref="B256:C256"/>
    <mergeCell ref="B254:C254"/>
    <mergeCell ref="B255:C255"/>
    <mergeCell ref="C265:D265"/>
    <mergeCell ref="B220:C220"/>
    <mergeCell ref="C230:D230"/>
    <mergeCell ref="C231:D231"/>
    <mergeCell ref="B238:C238"/>
    <mergeCell ref="B236:C236"/>
    <mergeCell ref="B237:C237"/>
    <mergeCell ref="B310:C310"/>
    <mergeCell ref="C320:D320"/>
    <mergeCell ref="B285:C285"/>
    <mergeCell ref="B286:C286"/>
    <mergeCell ref="B287:C287"/>
    <mergeCell ref="E289:G289"/>
    <mergeCell ref="C266:D266"/>
    <mergeCell ref="B271:C271"/>
    <mergeCell ref="B272:C272"/>
    <mergeCell ref="B273:C273"/>
    <mergeCell ref="C279:D279"/>
    <mergeCell ref="C280:D280"/>
    <mergeCell ref="A1:F1"/>
    <mergeCell ref="C111:D111"/>
    <mergeCell ref="E26:G26"/>
    <mergeCell ref="E44:G44"/>
    <mergeCell ref="E121:F121"/>
    <mergeCell ref="C359:D359"/>
    <mergeCell ref="C358:D358"/>
    <mergeCell ref="C302:D302"/>
    <mergeCell ref="C131:D131"/>
    <mergeCell ref="C130:D130"/>
    <mergeCell ref="C112:D112"/>
    <mergeCell ref="B347:C347"/>
    <mergeCell ref="C339:D339"/>
    <mergeCell ref="C340:D340"/>
    <mergeCell ref="E330:F330"/>
    <mergeCell ref="C321:D321"/>
    <mergeCell ref="B326:C326"/>
    <mergeCell ref="B327:C327"/>
    <mergeCell ref="B328:C328"/>
    <mergeCell ref="B345:C345"/>
    <mergeCell ref="B346:C346"/>
    <mergeCell ref="C303:D303"/>
    <mergeCell ref="B308:C308"/>
    <mergeCell ref="B309:C309"/>
  </mergeCells>
  <conditionalFormatting sqref="E12:E15">
    <cfRule type="top10" dxfId="67" priority="46" rank="1"/>
  </conditionalFormatting>
  <conditionalFormatting sqref="F12:F15">
    <cfRule type="top10" dxfId="66" priority="44" rank="1"/>
  </conditionalFormatting>
  <conditionalFormatting sqref="E87:E93">
    <cfRule type="top10" dxfId="65" priority="42" rank="1"/>
  </conditionalFormatting>
  <conditionalFormatting sqref="F87:F93">
    <cfRule type="top10" dxfId="64" priority="41" rank="1"/>
  </conditionalFormatting>
  <conditionalFormatting sqref="E141:E147">
    <cfRule type="top10" dxfId="63" priority="40" rank="1"/>
  </conditionalFormatting>
  <conditionalFormatting sqref="F141:F147">
    <cfRule type="top10" dxfId="62" priority="39" rank="1"/>
  </conditionalFormatting>
  <conditionalFormatting sqref="G141:G147">
    <cfRule type="top10" dxfId="61" priority="38" rank="1"/>
  </conditionalFormatting>
  <conditionalFormatting sqref="H141:H147">
    <cfRule type="top10" dxfId="60" priority="37" rank="1"/>
  </conditionalFormatting>
  <conditionalFormatting sqref="E159:E167">
    <cfRule type="top10" dxfId="59" priority="36" rank="1"/>
  </conditionalFormatting>
  <conditionalFormatting sqref="F159:F167">
    <cfRule type="top10" dxfId="58" priority="35" rank="1"/>
  </conditionalFormatting>
  <conditionalFormatting sqref="E200:E201">
    <cfRule type="top10" priority="33" rank="1"/>
  </conditionalFormatting>
  <conditionalFormatting sqref="E200:E210">
    <cfRule type="top10" dxfId="57" priority="32" rank="1"/>
  </conditionalFormatting>
  <conditionalFormatting sqref="F200:F201">
    <cfRule type="top10" priority="31" rank="1"/>
  </conditionalFormatting>
  <conditionalFormatting sqref="F200:F210">
    <cfRule type="top10" dxfId="56" priority="30" rank="1"/>
  </conditionalFormatting>
  <conditionalFormatting sqref="G200:G201">
    <cfRule type="top10" priority="29" rank="1"/>
  </conditionalFormatting>
  <conditionalFormatting sqref="G200:G210">
    <cfRule type="top10" dxfId="55" priority="28" rank="1"/>
  </conditionalFormatting>
  <conditionalFormatting sqref="H200:H201">
    <cfRule type="top10" priority="27" rank="1"/>
  </conditionalFormatting>
  <conditionalFormatting sqref="H200:H210">
    <cfRule type="top10" dxfId="54" priority="26" rank="1"/>
  </conditionalFormatting>
  <conditionalFormatting sqref="I200:I201">
    <cfRule type="top10" priority="25" rank="1"/>
  </conditionalFormatting>
  <conditionalFormatting sqref="I200:I210">
    <cfRule type="top10" dxfId="53" priority="24" rank="1"/>
  </conditionalFormatting>
  <conditionalFormatting sqref="J200:J201">
    <cfRule type="top10" priority="23" rank="1"/>
  </conditionalFormatting>
  <conditionalFormatting sqref="J200:J210">
    <cfRule type="top10" dxfId="52" priority="22" rank="1"/>
  </conditionalFormatting>
  <conditionalFormatting sqref="E290:E301">
    <cfRule type="top10" dxfId="51" priority="19" rank="1"/>
  </conditionalFormatting>
  <conditionalFormatting sqref="F290:F301">
    <cfRule type="top10" dxfId="50" priority="18" rank="1"/>
  </conditionalFormatting>
  <conditionalFormatting sqref="G290:G301">
    <cfRule type="top10" dxfId="49" priority="17" rank="1"/>
  </conditionalFormatting>
  <conditionalFormatting sqref="E331:E338">
    <cfRule type="top10" dxfId="48" priority="16" rank="1"/>
  </conditionalFormatting>
  <conditionalFormatting sqref="F331:F338">
    <cfRule type="top10" dxfId="47" priority="15" rank="1"/>
  </conditionalFormatting>
  <conditionalFormatting sqref="E27:E33">
    <cfRule type="top10" dxfId="46" priority="10" rank="1"/>
  </conditionalFormatting>
  <conditionalFormatting sqref="F27:F33">
    <cfRule type="top10" dxfId="45" priority="9" rank="1"/>
  </conditionalFormatting>
  <conditionalFormatting sqref="G27:G33">
    <cfRule type="top10" dxfId="44" priority="8" rank="1"/>
  </conditionalFormatting>
  <conditionalFormatting sqref="E45:E57">
    <cfRule type="top10" dxfId="43" priority="6" rank="1"/>
  </conditionalFormatting>
  <conditionalFormatting sqref="F45:F57">
    <cfRule type="top10" dxfId="42" priority="5" rank="1"/>
  </conditionalFormatting>
  <conditionalFormatting sqref="G45:G57">
    <cfRule type="top10" dxfId="41" priority="4" rank="1"/>
  </conditionalFormatting>
  <conditionalFormatting sqref="E122:E129">
    <cfRule type="top10" dxfId="40" priority="3" rank="1"/>
  </conditionalFormatting>
  <conditionalFormatting sqref="F122:F129">
    <cfRule type="top10" dxfId="39" priority="2" rank="1"/>
  </conditionalFormatting>
  <conditionalFormatting sqref="E313:E319">
    <cfRule type="top10" dxfId="38" priority="1" rank="1"/>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59999389629810485"/>
  </sheetPr>
  <dimension ref="A1:K352"/>
  <sheetViews>
    <sheetView showGridLines="0" zoomScale="90" zoomScaleNormal="90" zoomScalePageLayoutView="90" workbookViewId="0">
      <selection activeCell="A2" sqref="A2"/>
    </sheetView>
  </sheetViews>
  <sheetFormatPr baseColWidth="10" defaultColWidth="11" defaultRowHeight="15.6" x14ac:dyDescent="0.3"/>
  <cols>
    <col min="1" max="1" width="3.69921875" customWidth="1"/>
    <col min="2" max="2" width="11.69921875" customWidth="1"/>
  </cols>
  <sheetData>
    <row r="1" spans="1:7" ht="23.4" x14ac:dyDescent="0.45">
      <c r="A1" s="399" t="s">
        <v>449</v>
      </c>
      <c r="B1" s="399"/>
      <c r="C1" s="399"/>
      <c r="D1" s="399"/>
      <c r="E1" s="399"/>
      <c r="F1" s="399"/>
      <c r="G1" s="399"/>
    </row>
    <row r="3" spans="1:7" ht="18.600000000000001" thickBot="1" x14ac:dyDescent="0.35">
      <c r="B3" s="76" t="s">
        <v>3</v>
      </c>
      <c r="C3" s="77"/>
      <c r="D3" s="77"/>
      <c r="E3" s="77"/>
      <c r="F3" s="77"/>
      <c r="G3" s="77"/>
    </row>
    <row r="5" spans="1:7" x14ac:dyDescent="0.3">
      <c r="B5" s="408" t="s">
        <v>329</v>
      </c>
      <c r="C5" s="408"/>
      <c r="D5" s="62">
        <v>24</v>
      </c>
    </row>
    <row r="6" spans="1:7" x14ac:dyDescent="0.3">
      <c r="B6" s="408" t="s">
        <v>330</v>
      </c>
      <c r="C6" s="408"/>
      <c r="D6">
        <v>630</v>
      </c>
    </row>
    <row r="7" spans="1:7" x14ac:dyDescent="0.3">
      <c r="B7" s="405" t="s">
        <v>326</v>
      </c>
      <c r="C7" s="405"/>
      <c r="D7" s="63">
        <f>D6/D5</f>
        <v>26.25</v>
      </c>
    </row>
    <row r="9" spans="1:7" ht="43.2" x14ac:dyDescent="0.3">
      <c r="B9" s="31" t="s">
        <v>327</v>
      </c>
      <c r="C9" s="32" t="s">
        <v>331</v>
      </c>
      <c r="D9" s="32" t="s">
        <v>439</v>
      </c>
      <c r="E9" s="79" t="s">
        <v>379</v>
      </c>
      <c r="F9" s="80" t="s">
        <v>440</v>
      </c>
      <c r="G9" s="33" t="s">
        <v>332</v>
      </c>
    </row>
    <row r="10" spans="1:7" x14ac:dyDescent="0.3">
      <c r="B10" s="9" t="s">
        <v>328</v>
      </c>
      <c r="C10" s="10">
        <v>310</v>
      </c>
      <c r="D10" s="68">
        <f>TRUNC(C10/$D$7)</f>
        <v>11</v>
      </c>
      <c r="E10" s="144">
        <f>C10-(D10*$D$7)</f>
        <v>21.25</v>
      </c>
      <c r="F10" s="147">
        <v>1</v>
      </c>
      <c r="G10" s="112">
        <f>D10+F10</f>
        <v>12</v>
      </c>
    </row>
    <row r="11" spans="1:7" x14ac:dyDescent="0.3">
      <c r="B11" s="65" t="s">
        <v>31</v>
      </c>
      <c r="C11" s="13">
        <v>193</v>
      </c>
      <c r="D11" s="8">
        <f>TRUNC(C11/$D$7)</f>
        <v>7</v>
      </c>
      <c r="E11" s="8">
        <f>C11-(D11*$D$7)</f>
        <v>9.25</v>
      </c>
      <c r="F11" s="148">
        <v>0</v>
      </c>
      <c r="G11" s="145">
        <f t="shared" ref="G11:G13" si="0">D11+F11</f>
        <v>7</v>
      </c>
    </row>
    <row r="12" spans="1:7" x14ac:dyDescent="0.3">
      <c r="B12" s="9" t="s">
        <v>34</v>
      </c>
      <c r="C12" s="10">
        <v>64</v>
      </c>
      <c r="D12" s="68">
        <f>TRUNC(C12/$D$7)</f>
        <v>2</v>
      </c>
      <c r="E12" s="144">
        <f>C12-(D12*$D$7)</f>
        <v>11.5</v>
      </c>
      <c r="F12" s="147">
        <v>1</v>
      </c>
      <c r="G12" s="112">
        <f t="shared" si="0"/>
        <v>3</v>
      </c>
    </row>
    <row r="13" spans="1:7" ht="31.2" x14ac:dyDescent="0.3">
      <c r="B13" s="66" t="s">
        <v>450</v>
      </c>
      <c r="C13" s="64">
        <v>63</v>
      </c>
      <c r="D13" s="69">
        <f>TRUNC(C13/$D$7)</f>
        <v>2</v>
      </c>
      <c r="E13" s="69">
        <f>C13-(D13*$D$7)</f>
        <v>10.5</v>
      </c>
      <c r="F13" s="149">
        <v>0</v>
      </c>
      <c r="G13" s="146">
        <f t="shared" si="0"/>
        <v>2</v>
      </c>
    </row>
    <row r="14" spans="1:7" x14ac:dyDescent="0.3">
      <c r="C14" s="401">
        <f>SUM(D10:D13)</f>
        <v>22</v>
      </c>
      <c r="D14" s="401"/>
      <c r="G14" s="75">
        <f>SUM(G10:G13)</f>
        <v>24</v>
      </c>
    </row>
    <row r="15" spans="1:7" x14ac:dyDescent="0.3">
      <c r="C15" s="404">
        <f>D5-C14</f>
        <v>2</v>
      </c>
      <c r="D15" s="404"/>
    </row>
    <row r="17" spans="2:10" ht="18.600000000000001" thickBot="1" x14ac:dyDescent="0.35">
      <c r="B17" s="76" t="s">
        <v>4</v>
      </c>
      <c r="C17" s="77"/>
      <c r="D17" s="77"/>
      <c r="E17" s="77"/>
      <c r="F17" s="77"/>
      <c r="G17" s="77"/>
    </row>
    <row r="19" spans="2:10" x14ac:dyDescent="0.3">
      <c r="B19" s="408" t="s">
        <v>329</v>
      </c>
      <c r="C19" s="408"/>
      <c r="D19" s="62">
        <v>3</v>
      </c>
    </row>
    <row r="20" spans="2:10" x14ac:dyDescent="0.3">
      <c r="B20" s="408" t="s">
        <v>330</v>
      </c>
      <c r="C20" s="408"/>
      <c r="D20">
        <v>183</v>
      </c>
    </row>
    <row r="21" spans="2:10" x14ac:dyDescent="0.3">
      <c r="B21" s="405" t="s">
        <v>326</v>
      </c>
      <c r="C21" s="405"/>
      <c r="D21" s="63">
        <f>D20/D19</f>
        <v>61</v>
      </c>
    </row>
    <row r="23" spans="2:10" ht="43.2" x14ac:dyDescent="0.3">
      <c r="B23" s="31" t="s">
        <v>327</v>
      </c>
      <c r="C23" s="32" t="s">
        <v>331</v>
      </c>
      <c r="D23" s="32" t="s">
        <v>439</v>
      </c>
      <c r="E23" s="79" t="s">
        <v>379</v>
      </c>
      <c r="F23" s="80" t="s">
        <v>440</v>
      </c>
      <c r="G23" s="33" t="s">
        <v>332</v>
      </c>
    </row>
    <row r="24" spans="2:10" x14ac:dyDescent="0.3">
      <c r="B24" s="84" t="s">
        <v>333</v>
      </c>
      <c r="C24" s="82">
        <v>52</v>
      </c>
      <c r="D24" s="82">
        <f>TRUNC(C24/$D$21)</f>
        <v>0</v>
      </c>
      <c r="E24" s="86">
        <f>C24-(D24*$D$21)</f>
        <v>52</v>
      </c>
      <c r="F24" s="82">
        <v>1</v>
      </c>
      <c r="G24" s="123">
        <f>D24+F24</f>
        <v>1</v>
      </c>
      <c r="J24" s="14"/>
    </row>
    <row r="25" spans="2:10" x14ac:dyDescent="0.3">
      <c r="B25" s="78" t="s">
        <v>62</v>
      </c>
      <c r="C25" s="16">
        <v>50</v>
      </c>
      <c r="D25" s="16">
        <f t="shared" ref="D25:D30" si="1">TRUNC(C25/$D$21)</f>
        <v>0</v>
      </c>
      <c r="E25" s="150">
        <f t="shared" ref="E25:E30" si="2">C25-(D25*$D$21)</f>
        <v>50</v>
      </c>
      <c r="F25" s="16">
        <v>1</v>
      </c>
      <c r="G25" s="88">
        <f t="shared" ref="G25:G27" si="3">D25+F25</f>
        <v>1</v>
      </c>
    </row>
    <row r="26" spans="2:10" x14ac:dyDescent="0.3">
      <c r="B26" s="84" t="s">
        <v>40</v>
      </c>
      <c r="C26" s="82">
        <v>38</v>
      </c>
      <c r="D26" s="82">
        <f t="shared" si="1"/>
        <v>0</v>
      </c>
      <c r="E26" s="86">
        <f t="shared" si="2"/>
        <v>38</v>
      </c>
      <c r="F26" s="82">
        <v>1</v>
      </c>
      <c r="G26" s="89">
        <f t="shared" si="3"/>
        <v>1</v>
      </c>
    </row>
    <row r="27" spans="2:10" x14ac:dyDescent="0.3">
      <c r="B27" s="78" t="s">
        <v>49</v>
      </c>
      <c r="C27" s="16">
        <v>24</v>
      </c>
      <c r="D27" s="16">
        <f t="shared" si="1"/>
        <v>0</v>
      </c>
      <c r="E27" s="16">
        <f t="shared" si="2"/>
        <v>24</v>
      </c>
      <c r="F27" s="16">
        <v>0</v>
      </c>
      <c r="G27" s="88">
        <f t="shared" si="3"/>
        <v>0</v>
      </c>
    </row>
    <row r="28" spans="2:10" x14ac:dyDescent="0.3">
      <c r="B28" s="11" t="s">
        <v>39</v>
      </c>
      <c r="C28" s="82">
        <v>6</v>
      </c>
      <c r="D28" s="82">
        <f t="shared" si="1"/>
        <v>0</v>
      </c>
      <c r="E28" s="82">
        <f t="shared" si="2"/>
        <v>6</v>
      </c>
      <c r="F28" s="82">
        <v>0</v>
      </c>
      <c r="G28" s="89">
        <f t="shared" ref="G28:G30" si="4">D28+F28</f>
        <v>0</v>
      </c>
    </row>
    <row r="29" spans="2:10" x14ac:dyDescent="0.3">
      <c r="B29" s="12" t="s">
        <v>38</v>
      </c>
      <c r="C29" s="16">
        <v>9</v>
      </c>
      <c r="D29" s="16">
        <f t="shared" si="1"/>
        <v>0</v>
      </c>
      <c r="E29" s="16">
        <f t="shared" si="2"/>
        <v>9</v>
      </c>
      <c r="F29" s="16">
        <v>0</v>
      </c>
      <c r="G29" s="88">
        <f t="shared" si="4"/>
        <v>0</v>
      </c>
    </row>
    <row r="30" spans="2:10" x14ac:dyDescent="0.3">
      <c r="B30" s="85" t="s">
        <v>44</v>
      </c>
      <c r="C30" s="90">
        <v>4</v>
      </c>
      <c r="D30" s="90">
        <f t="shared" si="1"/>
        <v>0</v>
      </c>
      <c r="E30" s="90">
        <f t="shared" si="2"/>
        <v>4</v>
      </c>
      <c r="F30" s="90">
        <v>0</v>
      </c>
      <c r="G30" s="91">
        <f t="shared" si="4"/>
        <v>0</v>
      </c>
    </row>
    <row r="31" spans="2:10" x14ac:dyDescent="0.3">
      <c r="C31" s="401">
        <f>SUM(D24:D30)</f>
        <v>0</v>
      </c>
      <c r="D31" s="401"/>
      <c r="G31" s="75">
        <f>SUM(G24:G30)</f>
        <v>3</v>
      </c>
    </row>
    <row r="32" spans="2:10" x14ac:dyDescent="0.3">
      <c r="C32" s="404">
        <f>D19-C31</f>
        <v>3</v>
      </c>
      <c r="D32" s="404"/>
    </row>
    <row r="34" spans="2:7" ht="18.600000000000001" thickBot="1" x14ac:dyDescent="0.35">
      <c r="B34" s="76" t="s">
        <v>5</v>
      </c>
      <c r="C34" s="77"/>
      <c r="D34" s="77"/>
      <c r="E34" s="77"/>
      <c r="F34" s="77"/>
      <c r="G34" s="77"/>
    </row>
    <row r="36" spans="2:7" x14ac:dyDescent="0.3">
      <c r="B36" s="408" t="s">
        <v>436</v>
      </c>
      <c r="C36" s="408"/>
      <c r="D36" s="62">
        <v>3</v>
      </c>
    </row>
    <row r="37" spans="2:7" x14ac:dyDescent="0.3">
      <c r="B37" s="408" t="s">
        <v>330</v>
      </c>
      <c r="C37" s="408"/>
      <c r="D37">
        <v>150</v>
      </c>
    </row>
    <row r="38" spans="2:7" x14ac:dyDescent="0.3">
      <c r="B38" s="405" t="s">
        <v>438</v>
      </c>
      <c r="C38" s="405"/>
      <c r="D38" s="63">
        <f>D37/D36</f>
        <v>50</v>
      </c>
    </row>
    <row r="40" spans="2:7" ht="43.2" x14ac:dyDescent="0.3">
      <c r="B40" s="31" t="s">
        <v>327</v>
      </c>
      <c r="C40" s="32" t="s">
        <v>331</v>
      </c>
      <c r="D40" s="32" t="s">
        <v>439</v>
      </c>
      <c r="E40" s="79" t="s">
        <v>379</v>
      </c>
      <c r="F40" s="80" t="s">
        <v>440</v>
      </c>
      <c r="G40" s="33" t="s">
        <v>332</v>
      </c>
    </row>
    <row r="41" spans="2:7" x14ac:dyDescent="0.3">
      <c r="B41" s="84" t="s">
        <v>89</v>
      </c>
      <c r="C41" s="82">
        <v>31</v>
      </c>
      <c r="D41" s="82">
        <f>TRUNC(C41/$D$38)</f>
        <v>0</v>
      </c>
      <c r="E41" s="86">
        <f>C41-(D41*$D$38)</f>
        <v>31</v>
      </c>
      <c r="F41" s="82">
        <v>1</v>
      </c>
      <c r="G41" s="123">
        <f>D41+F41</f>
        <v>1</v>
      </c>
    </row>
    <row r="42" spans="2:7" x14ac:dyDescent="0.3">
      <c r="B42" s="78" t="s">
        <v>66</v>
      </c>
      <c r="C42" s="16">
        <v>23</v>
      </c>
      <c r="D42" s="16">
        <f t="shared" ref="D42:D53" si="5">TRUNC(C42/$D$38)</f>
        <v>0</v>
      </c>
      <c r="E42" s="87">
        <f t="shared" ref="E42:E53" si="6">C42-(D42*$D$38)</f>
        <v>23</v>
      </c>
      <c r="F42" s="16">
        <v>1</v>
      </c>
      <c r="G42" s="88">
        <f t="shared" ref="G42:G47" si="7">D42+F42</f>
        <v>1</v>
      </c>
    </row>
    <row r="43" spans="2:7" x14ac:dyDescent="0.3">
      <c r="B43" s="84" t="s">
        <v>334</v>
      </c>
      <c r="C43" s="82">
        <v>20</v>
      </c>
      <c r="D43" s="82">
        <f t="shared" si="5"/>
        <v>0</v>
      </c>
      <c r="E43" s="86">
        <f t="shared" si="6"/>
        <v>20</v>
      </c>
      <c r="F43" s="82">
        <v>1</v>
      </c>
      <c r="G43" s="89">
        <f t="shared" si="7"/>
        <v>1</v>
      </c>
    </row>
    <row r="44" spans="2:7" x14ac:dyDescent="0.3">
      <c r="B44" s="78" t="s">
        <v>335</v>
      </c>
      <c r="C44" s="16">
        <v>18</v>
      </c>
      <c r="D44" s="16">
        <f t="shared" si="5"/>
        <v>0</v>
      </c>
      <c r="E44" s="16">
        <f t="shared" si="6"/>
        <v>18</v>
      </c>
      <c r="F44" s="16">
        <v>0</v>
      </c>
      <c r="G44" s="88">
        <f t="shared" si="7"/>
        <v>0</v>
      </c>
    </row>
    <row r="45" spans="2:7" x14ac:dyDescent="0.3">
      <c r="B45" s="11" t="s">
        <v>336</v>
      </c>
      <c r="C45" s="82">
        <v>14</v>
      </c>
      <c r="D45" s="82">
        <f t="shared" si="5"/>
        <v>0</v>
      </c>
      <c r="E45" s="82">
        <f t="shared" si="6"/>
        <v>14</v>
      </c>
      <c r="F45" s="82">
        <v>0</v>
      </c>
      <c r="G45" s="89">
        <f t="shared" si="7"/>
        <v>0</v>
      </c>
    </row>
    <row r="46" spans="2:7" x14ac:dyDescent="0.3">
      <c r="B46" s="12" t="s">
        <v>67</v>
      </c>
      <c r="C46" s="16">
        <v>13</v>
      </c>
      <c r="D46" s="16">
        <f t="shared" si="5"/>
        <v>0</v>
      </c>
      <c r="E46" s="16">
        <f t="shared" si="6"/>
        <v>13</v>
      </c>
      <c r="F46" s="16">
        <v>0</v>
      </c>
      <c r="G46" s="88">
        <f t="shared" si="7"/>
        <v>0</v>
      </c>
    </row>
    <row r="47" spans="2:7" x14ac:dyDescent="0.3">
      <c r="B47" s="11" t="s">
        <v>68</v>
      </c>
      <c r="C47" s="82">
        <v>12</v>
      </c>
      <c r="D47" s="82">
        <f t="shared" si="5"/>
        <v>0</v>
      </c>
      <c r="E47" s="82">
        <f t="shared" si="6"/>
        <v>12</v>
      </c>
      <c r="F47" s="82">
        <v>0</v>
      </c>
      <c r="G47" s="89">
        <f t="shared" si="7"/>
        <v>0</v>
      </c>
    </row>
    <row r="48" spans="2:7" x14ac:dyDescent="0.3">
      <c r="B48" s="12" t="s">
        <v>69</v>
      </c>
      <c r="C48" s="16">
        <v>9</v>
      </c>
      <c r="D48" s="16">
        <f t="shared" si="5"/>
        <v>0</v>
      </c>
      <c r="E48" s="16">
        <f t="shared" si="6"/>
        <v>9</v>
      </c>
      <c r="F48" s="16">
        <v>0</v>
      </c>
      <c r="G48" s="88">
        <v>0</v>
      </c>
    </row>
    <row r="49" spans="2:7" x14ac:dyDescent="0.3">
      <c r="B49" s="11" t="s">
        <v>70</v>
      </c>
      <c r="C49" s="82">
        <v>3</v>
      </c>
      <c r="D49" s="82">
        <f t="shared" si="5"/>
        <v>0</v>
      </c>
      <c r="E49" s="82">
        <f t="shared" si="6"/>
        <v>3</v>
      </c>
      <c r="F49" s="82">
        <v>0</v>
      </c>
      <c r="G49" s="89">
        <v>0</v>
      </c>
    </row>
    <row r="50" spans="2:7" x14ac:dyDescent="0.3">
      <c r="B50" s="12" t="s">
        <v>71</v>
      </c>
      <c r="C50" s="16">
        <v>2</v>
      </c>
      <c r="D50" s="16">
        <f t="shared" si="5"/>
        <v>0</v>
      </c>
      <c r="E50" s="16">
        <f t="shared" si="6"/>
        <v>2</v>
      </c>
      <c r="F50" s="16">
        <v>0</v>
      </c>
      <c r="G50" s="88">
        <v>0</v>
      </c>
    </row>
    <row r="51" spans="2:7" x14ac:dyDescent="0.3">
      <c r="B51" s="11" t="s">
        <v>78</v>
      </c>
      <c r="C51" s="82">
        <v>2</v>
      </c>
      <c r="D51" s="82">
        <f t="shared" si="5"/>
        <v>0</v>
      </c>
      <c r="E51" s="82">
        <f t="shared" si="6"/>
        <v>2</v>
      </c>
      <c r="F51" s="82">
        <v>0</v>
      </c>
      <c r="G51" s="89">
        <v>0</v>
      </c>
    </row>
    <row r="52" spans="2:7" x14ac:dyDescent="0.3">
      <c r="B52" s="12" t="s">
        <v>72</v>
      </c>
      <c r="C52" s="16">
        <v>1</v>
      </c>
      <c r="D52" s="16">
        <f t="shared" si="5"/>
        <v>0</v>
      </c>
      <c r="E52" s="16">
        <f t="shared" si="6"/>
        <v>1</v>
      </c>
      <c r="F52" s="16">
        <v>0</v>
      </c>
      <c r="G52" s="88">
        <v>0</v>
      </c>
    </row>
    <row r="53" spans="2:7" x14ac:dyDescent="0.3">
      <c r="B53" s="85" t="s">
        <v>44</v>
      </c>
      <c r="C53" s="90">
        <v>2</v>
      </c>
      <c r="D53" s="90">
        <f t="shared" si="5"/>
        <v>0</v>
      </c>
      <c r="E53" s="90">
        <f t="shared" si="6"/>
        <v>2</v>
      </c>
      <c r="F53" s="90">
        <v>0</v>
      </c>
      <c r="G53" s="91">
        <v>0</v>
      </c>
    </row>
    <row r="54" spans="2:7" x14ac:dyDescent="0.3">
      <c r="B54" s="12"/>
      <c r="C54" s="409">
        <f>SUM(D41:D53)</f>
        <v>0</v>
      </c>
      <c r="D54" s="409"/>
      <c r="G54" s="75">
        <f>SUM(G41:G53)</f>
        <v>3</v>
      </c>
    </row>
    <row r="55" spans="2:7" x14ac:dyDescent="0.3">
      <c r="C55" s="404">
        <f>D36-C54</f>
        <v>3</v>
      </c>
      <c r="D55" s="404"/>
    </row>
    <row r="57" spans="2:7" ht="18.600000000000001" thickBot="1" x14ac:dyDescent="0.35">
      <c r="B57" s="76" t="s">
        <v>14</v>
      </c>
      <c r="C57" s="77"/>
      <c r="D57" s="77"/>
      <c r="E57" s="77"/>
      <c r="F57" s="77"/>
      <c r="G57" s="77"/>
    </row>
    <row r="59" spans="2:7" x14ac:dyDescent="0.3">
      <c r="B59" s="408" t="s">
        <v>436</v>
      </c>
      <c r="C59" s="408"/>
      <c r="D59" s="62">
        <v>1</v>
      </c>
    </row>
    <row r="60" spans="2:7" x14ac:dyDescent="0.3">
      <c r="B60" s="408" t="s">
        <v>330</v>
      </c>
      <c r="C60" s="408"/>
      <c r="D60">
        <v>56</v>
      </c>
    </row>
    <row r="61" spans="2:7" x14ac:dyDescent="0.3">
      <c r="B61" s="405" t="s">
        <v>438</v>
      </c>
      <c r="C61" s="405"/>
      <c r="D61" s="63">
        <f>D60/D59</f>
        <v>56</v>
      </c>
    </row>
    <row r="63" spans="2:7" ht="43.2" x14ac:dyDescent="0.3">
      <c r="B63" s="31" t="s">
        <v>327</v>
      </c>
      <c r="C63" s="32" t="s">
        <v>331</v>
      </c>
      <c r="D63" s="32" t="s">
        <v>439</v>
      </c>
      <c r="E63" s="79" t="s">
        <v>379</v>
      </c>
      <c r="F63" s="80" t="s">
        <v>440</v>
      </c>
      <c r="G63" s="67" t="s">
        <v>332</v>
      </c>
    </row>
    <row r="64" spans="2:7" x14ac:dyDescent="0.3">
      <c r="B64" s="84" t="s">
        <v>90</v>
      </c>
      <c r="C64" s="82">
        <v>20</v>
      </c>
      <c r="D64" s="82">
        <f>TRUNC(C64/$D$61)</f>
        <v>0</v>
      </c>
      <c r="E64" s="86">
        <f>C64-(D64*$D$61)</f>
        <v>20</v>
      </c>
      <c r="F64" s="82">
        <v>1</v>
      </c>
      <c r="G64" s="123">
        <f>1</f>
        <v>1</v>
      </c>
    </row>
    <row r="65" spans="2:7" x14ac:dyDescent="0.3">
      <c r="B65" s="78" t="s">
        <v>103</v>
      </c>
      <c r="C65" s="16">
        <v>19</v>
      </c>
      <c r="D65" s="16">
        <f t="shared" ref="D65:D70" si="8">TRUNC(C65/$D$61)</f>
        <v>0</v>
      </c>
      <c r="E65" s="16">
        <f t="shared" ref="E65:E70" si="9">C65-(D65*$D$61)</f>
        <v>19</v>
      </c>
      <c r="F65" s="16">
        <v>0</v>
      </c>
      <c r="G65" s="88">
        <v>0</v>
      </c>
    </row>
    <row r="66" spans="2:7" x14ac:dyDescent="0.3">
      <c r="B66" s="84" t="s">
        <v>104</v>
      </c>
      <c r="C66" s="82">
        <v>8</v>
      </c>
      <c r="D66" s="82">
        <f t="shared" si="8"/>
        <v>0</v>
      </c>
      <c r="E66" s="82">
        <f t="shared" si="9"/>
        <v>8</v>
      </c>
      <c r="F66" s="82">
        <v>0</v>
      </c>
      <c r="G66" s="89">
        <v>0</v>
      </c>
    </row>
    <row r="67" spans="2:7" x14ac:dyDescent="0.3">
      <c r="B67" s="78" t="s">
        <v>91</v>
      </c>
      <c r="C67" s="16">
        <v>5</v>
      </c>
      <c r="D67" s="16">
        <f t="shared" si="8"/>
        <v>0</v>
      </c>
      <c r="E67" s="16">
        <f t="shared" si="9"/>
        <v>5</v>
      </c>
      <c r="F67" s="16">
        <v>0</v>
      </c>
      <c r="G67" s="88">
        <v>0</v>
      </c>
    </row>
    <row r="68" spans="2:7" x14ac:dyDescent="0.3">
      <c r="B68" s="11" t="s">
        <v>92</v>
      </c>
      <c r="C68" s="82">
        <v>1</v>
      </c>
      <c r="D68" s="82">
        <f t="shared" si="8"/>
        <v>0</v>
      </c>
      <c r="E68" s="82">
        <f t="shared" si="9"/>
        <v>1</v>
      </c>
      <c r="F68" s="82">
        <v>0</v>
      </c>
      <c r="G68" s="89">
        <v>0</v>
      </c>
    </row>
    <row r="69" spans="2:7" x14ac:dyDescent="0.3">
      <c r="B69" s="12" t="s">
        <v>93</v>
      </c>
      <c r="C69" s="16">
        <v>1</v>
      </c>
      <c r="D69" s="16">
        <f t="shared" si="8"/>
        <v>0</v>
      </c>
      <c r="E69" s="16">
        <f t="shared" si="9"/>
        <v>1</v>
      </c>
      <c r="F69" s="16">
        <v>0</v>
      </c>
      <c r="G69" s="88">
        <v>0</v>
      </c>
    </row>
    <row r="70" spans="2:7" x14ac:dyDescent="0.3">
      <c r="B70" s="85" t="s">
        <v>44</v>
      </c>
      <c r="C70" s="90">
        <v>2</v>
      </c>
      <c r="D70" s="90">
        <f t="shared" si="8"/>
        <v>0</v>
      </c>
      <c r="E70" s="90">
        <f t="shared" si="9"/>
        <v>2</v>
      </c>
      <c r="F70" s="163">
        <v>0</v>
      </c>
      <c r="G70" s="91">
        <v>0</v>
      </c>
    </row>
    <row r="71" spans="2:7" x14ac:dyDescent="0.3">
      <c r="C71" s="409">
        <f>SUM(D64:D70)</f>
        <v>0</v>
      </c>
      <c r="D71" s="409"/>
      <c r="G71" s="75">
        <f>SUM(G64:G70)</f>
        <v>1</v>
      </c>
    </row>
    <row r="72" spans="2:7" x14ac:dyDescent="0.3">
      <c r="C72" s="404">
        <f>D59-C71</f>
        <v>1</v>
      </c>
      <c r="D72" s="404"/>
    </row>
    <row r="74" spans="2:7" ht="18.600000000000001" thickBot="1" x14ac:dyDescent="0.35">
      <c r="B74" s="76" t="s">
        <v>6</v>
      </c>
      <c r="C74" s="77"/>
      <c r="D74" s="77"/>
      <c r="E74" s="77"/>
      <c r="F74" s="77"/>
      <c r="G74" s="77"/>
    </row>
    <row r="76" spans="2:7" x14ac:dyDescent="0.3">
      <c r="B76" s="408" t="s">
        <v>436</v>
      </c>
      <c r="C76" s="408"/>
      <c r="D76" s="62">
        <v>14</v>
      </c>
    </row>
    <row r="77" spans="2:7" x14ac:dyDescent="0.3">
      <c r="B77" s="408" t="s">
        <v>330</v>
      </c>
      <c r="C77" s="408"/>
      <c r="D77">
        <v>350</v>
      </c>
    </row>
    <row r="78" spans="2:7" x14ac:dyDescent="0.3">
      <c r="B78" s="405" t="s">
        <v>438</v>
      </c>
      <c r="C78" s="405"/>
      <c r="D78" s="63">
        <f>D77/D76</f>
        <v>25</v>
      </c>
    </row>
    <row r="80" spans="2:7" ht="43.2" x14ac:dyDescent="0.3">
      <c r="B80" s="31" t="s">
        <v>327</v>
      </c>
      <c r="C80" s="32" t="s">
        <v>331</v>
      </c>
      <c r="D80" s="32" t="s">
        <v>439</v>
      </c>
      <c r="E80" s="79" t="s">
        <v>379</v>
      </c>
      <c r="F80" s="80" t="s">
        <v>440</v>
      </c>
      <c r="G80" s="67" t="s">
        <v>332</v>
      </c>
    </row>
    <row r="81" spans="2:7" x14ac:dyDescent="0.3">
      <c r="B81" s="9" t="s">
        <v>107</v>
      </c>
      <c r="C81" s="10">
        <v>84</v>
      </c>
      <c r="D81" s="10">
        <f>TRUNC(C81/$D$78)</f>
        <v>3</v>
      </c>
      <c r="E81" s="151">
        <f>C81-(D81*$D$78)</f>
        <v>9</v>
      </c>
      <c r="F81" s="82">
        <v>1</v>
      </c>
      <c r="G81" s="154">
        <f>D81+1</f>
        <v>4</v>
      </c>
    </row>
    <row r="82" spans="2:7" x14ac:dyDescent="0.3">
      <c r="B82" s="65" t="s">
        <v>120</v>
      </c>
      <c r="C82" s="13">
        <v>134</v>
      </c>
      <c r="D82" s="13">
        <f t="shared" ref="D82:D87" si="10">TRUNC(C82/$D$78)</f>
        <v>5</v>
      </c>
      <c r="E82" s="153">
        <f t="shared" ref="E82:E87" si="11">C82-(D82*$D$78)</f>
        <v>9</v>
      </c>
      <c r="F82" s="16">
        <v>1</v>
      </c>
      <c r="G82" s="155">
        <f>D82+1</f>
        <v>6</v>
      </c>
    </row>
    <row r="83" spans="2:7" x14ac:dyDescent="0.3">
      <c r="B83" s="9" t="s">
        <v>108</v>
      </c>
      <c r="C83" s="10">
        <v>67</v>
      </c>
      <c r="D83" s="10">
        <f t="shared" si="10"/>
        <v>2</v>
      </c>
      <c r="E83" s="151">
        <f t="shared" si="11"/>
        <v>17</v>
      </c>
      <c r="F83" s="82">
        <v>1</v>
      </c>
      <c r="G83" s="156">
        <f>D83+1</f>
        <v>3</v>
      </c>
    </row>
    <row r="84" spans="2:7" x14ac:dyDescent="0.3">
      <c r="B84" s="65" t="s">
        <v>121</v>
      </c>
      <c r="C84" s="13">
        <v>32</v>
      </c>
      <c r="D84" s="13">
        <f t="shared" si="10"/>
        <v>1</v>
      </c>
      <c r="E84" s="13">
        <f t="shared" si="11"/>
        <v>7</v>
      </c>
      <c r="F84" s="16">
        <v>0</v>
      </c>
      <c r="G84" s="155">
        <f>D84</f>
        <v>1</v>
      </c>
    </row>
    <row r="85" spans="2:7" x14ac:dyDescent="0.3">
      <c r="B85" s="9" t="s">
        <v>110</v>
      </c>
      <c r="C85" s="10">
        <v>9</v>
      </c>
      <c r="D85" s="10">
        <f t="shared" si="10"/>
        <v>0</v>
      </c>
      <c r="E85" s="10">
        <f t="shared" si="11"/>
        <v>9</v>
      </c>
      <c r="F85" s="82">
        <v>0</v>
      </c>
      <c r="G85" s="156">
        <f>D85</f>
        <v>0</v>
      </c>
    </row>
    <row r="86" spans="2:7" x14ac:dyDescent="0.3">
      <c r="B86" s="65" t="s">
        <v>111</v>
      </c>
      <c r="C86" s="13">
        <v>5</v>
      </c>
      <c r="D86" s="13">
        <f t="shared" si="10"/>
        <v>0</v>
      </c>
      <c r="E86" s="13">
        <f t="shared" si="11"/>
        <v>5</v>
      </c>
      <c r="F86" s="16">
        <v>0</v>
      </c>
      <c r="G86" s="155">
        <f>D86</f>
        <v>0</v>
      </c>
    </row>
    <row r="87" spans="2:7" x14ac:dyDescent="0.3">
      <c r="B87" s="99" t="s">
        <v>109</v>
      </c>
      <c r="C87" s="100">
        <v>19</v>
      </c>
      <c r="D87" s="100">
        <f t="shared" si="10"/>
        <v>0</v>
      </c>
      <c r="E87" s="152">
        <f t="shared" si="11"/>
        <v>19</v>
      </c>
      <c r="F87" s="163">
        <v>0</v>
      </c>
      <c r="G87" s="157">
        <f>D87</f>
        <v>0</v>
      </c>
    </row>
    <row r="88" spans="2:7" x14ac:dyDescent="0.3">
      <c r="C88" s="409">
        <f>SUM(D81:D87)</f>
        <v>11</v>
      </c>
      <c r="D88" s="409"/>
      <c r="G88" s="75">
        <f>SUM(G81:G87)</f>
        <v>14</v>
      </c>
    </row>
    <row r="89" spans="2:7" x14ac:dyDescent="0.3">
      <c r="C89" s="404">
        <f>D76-C88</f>
        <v>3</v>
      </c>
      <c r="D89" s="404"/>
    </row>
    <row r="92" spans="2:7" ht="18.600000000000001" thickBot="1" x14ac:dyDescent="0.35">
      <c r="B92" s="76" t="s">
        <v>17</v>
      </c>
      <c r="C92" s="77"/>
      <c r="D92" s="77"/>
      <c r="E92" s="77"/>
      <c r="F92" s="77"/>
      <c r="G92" s="77"/>
    </row>
    <row r="94" spans="2:7" x14ac:dyDescent="0.3">
      <c r="B94" s="408" t="s">
        <v>436</v>
      </c>
      <c r="C94" s="408"/>
      <c r="D94" s="62">
        <v>1</v>
      </c>
    </row>
    <row r="95" spans="2:7" x14ac:dyDescent="0.3">
      <c r="B95" s="408" t="s">
        <v>330</v>
      </c>
      <c r="C95" s="408"/>
      <c r="D95">
        <v>101</v>
      </c>
    </row>
    <row r="96" spans="2:7" x14ac:dyDescent="0.3">
      <c r="B96" s="405" t="s">
        <v>438</v>
      </c>
      <c r="C96" s="405"/>
      <c r="D96" s="63">
        <f>D95/D94</f>
        <v>101</v>
      </c>
    </row>
    <row r="98" spans="2:7" ht="43.2" x14ac:dyDescent="0.3">
      <c r="B98" s="31" t="s">
        <v>327</v>
      </c>
      <c r="C98" s="32" t="s">
        <v>331</v>
      </c>
      <c r="D98" s="32" t="s">
        <v>439</v>
      </c>
      <c r="E98" s="79" t="s">
        <v>379</v>
      </c>
      <c r="F98" s="80" t="s">
        <v>440</v>
      </c>
      <c r="G98" s="33" t="s">
        <v>332</v>
      </c>
    </row>
    <row r="99" spans="2:7" x14ac:dyDescent="0.3">
      <c r="B99" s="9" t="s">
        <v>342</v>
      </c>
      <c r="C99" s="10">
        <v>30</v>
      </c>
      <c r="D99" s="10">
        <f>TRUNC(C99/$D$96)</f>
        <v>0</v>
      </c>
      <c r="E99" s="151">
        <f>C99-(D99*$D$96)</f>
        <v>30</v>
      </c>
      <c r="F99" s="82">
        <v>1</v>
      </c>
      <c r="G99" s="154">
        <v>1</v>
      </c>
    </row>
    <row r="100" spans="2:7" x14ac:dyDescent="0.3">
      <c r="B100" s="65" t="s">
        <v>351</v>
      </c>
      <c r="C100" s="13">
        <v>27</v>
      </c>
      <c r="D100" s="13">
        <f t="shared" ref="D100:D104" si="12">TRUNC(C100/$D$96)</f>
        <v>0</v>
      </c>
      <c r="E100" s="13">
        <f t="shared" ref="E100:E104" si="13">C100-(D100*$D$96)</f>
        <v>27</v>
      </c>
      <c r="F100" s="16">
        <v>0</v>
      </c>
      <c r="G100" s="158">
        <f>TRUNC(E100/$D$96)</f>
        <v>0</v>
      </c>
    </row>
    <row r="101" spans="2:7" x14ac:dyDescent="0.3">
      <c r="B101" s="9" t="s">
        <v>352</v>
      </c>
      <c r="C101" s="10">
        <v>15</v>
      </c>
      <c r="D101" s="10">
        <f t="shared" si="12"/>
        <v>0</v>
      </c>
      <c r="E101" s="10">
        <f t="shared" si="13"/>
        <v>15</v>
      </c>
      <c r="F101" s="82">
        <v>0</v>
      </c>
      <c r="G101" s="159">
        <f>TRUNC(E101/$D$96)</f>
        <v>0</v>
      </c>
    </row>
    <row r="102" spans="2:7" x14ac:dyDescent="0.3">
      <c r="B102" s="65" t="s">
        <v>353</v>
      </c>
      <c r="C102" s="13">
        <v>14</v>
      </c>
      <c r="D102" s="13">
        <f t="shared" si="12"/>
        <v>0</v>
      </c>
      <c r="E102" s="13">
        <f t="shared" si="13"/>
        <v>14</v>
      </c>
      <c r="F102" s="16">
        <v>0</v>
      </c>
      <c r="G102" s="158">
        <f>TRUNC(E102/$D$96)</f>
        <v>0</v>
      </c>
    </row>
    <row r="103" spans="2:7" x14ac:dyDescent="0.3">
      <c r="B103" s="9" t="s">
        <v>343</v>
      </c>
      <c r="C103" s="10">
        <v>8</v>
      </c>
      <c r="D103" s="10">
        <f t="shared" si="12"/>
        <v>0</v>
      </c>
      <c r="E103" s="10">
        <f t="shared" si="13"/>
        <v>8</v>
      </c>
      <c r="F103" s="82">
        <v>0</v>
      </c>
      <c r="G103" s="159">
        <f>TRUNC(E103/$D$96)</f>
        <v>0</v>
      </c>
    </row>
    <row r="104" spans="2:7" x14ac:dyDescent="0.3">
      <c r="B104" s="66" t="s">
        <v>344</v>
      </c>
      <c r="C104" s="64">
        <v>7</v>
      </c>
      <c r="D104" s="64">
        <f t="shared" si="12"/>
        <v>0</v>
      </c>
      <c r="E104" s="64">
        <f t="shared" si="13"/>
        <v>7</v>
      </c>
      <c r="F104" s="127">
        <v>0</v>
      </c>
      <c r="G104" s="160">
        <f>TRUNC(E104/$D$96)</f>
        <v>0</v>
      </c>
    </row>
    <row r="105" spans="2:7" x14ac:dyDescent="0.3">
      <c r="C105" s="409">
        <f>SUM(D99:D104)</f>
        <v>0</v>
      </c>
      <c r="D105" s="409"/>
      <c r="G105" s="75">
        <f>SUM(G98:G104)</f>
        <v>1</v>
      </c>
    </row>
    <row r="106" spans="2:7" x14ac:dyDescent="0.3">
      <c r="C106" s="404">
        <f>D94-C105</f>
        <v>1</v>
      </c>
      <c r="D106" s="404"/>
    </row>
    <row r="109" spans="2:7" ht="18.600000000000001" thickBot="1" x14ac:dyDescent="0.35">
      <c r="B109" s="76" t="s">
        <v>7</v>
      </c>
      <c r="C109" s="77"/>
      <c r="D109" s="77"/>
      <c r="E109" s="77"/>
      <c r="F109" s="77"/>
      <c r="G109" s="77"/>
    </row>
    <row r="111" spans="2:7" x14ac:dyDescent="0.3">
      <c r="B111" s="408" t="s">
        <v>436</v>
      </c>
      <c r="C111" s="408"/>
      <c r="D111" s="62">
        <v>2</v>
      </c>
    </row>
    <row r="112" spans="2:7" x14ac:dyDescent="0.3">
      <c r="B112" s="408" t="s">
        <v>330</v>
      </c>
      <c r="C112" s="408"/>
      <c r="D112">
        <v>200</v>
      </c>
    </row>
    <row r="113" spans="2:10" x14ac:dyDescent="0.3">
      <c r="B113" s="405" t="s">
        <v>438</v>
      </c>
      <c r="C113" s="405"/>
      <c r="D113" s="63">
        <f>D112/D111</f>
        <v>100</v>
      </c>
    </row>
    <row r="115" spans="2:10" ht="43.2" x14ac:dyDescent="0.3">
      <c r="B115" s="31" t="s">
        <v>327</v>
      </c>
      <c r="C115" s="32" t="s">
        <v>331</v>
      </c>
      <c r="D115" s="32" t="s">
        <v>439</v>
      </c>
      <c r="E115" s="79" t="s">
        <v>379</v>
      </c>
      <c r="F115" s="80" t="s">
        <v>440</v>
      </c>
      <c r="G115" s="67" t="s">
        <v>332</v>
      </c>
    </row>
    <row r="116" spans="2:10" x14ac:dyDescent="0.3">
      <c r="B116" s="9" t="s">
        <v>337</v>
      </c>
      <c r="C116" s="10">
        <v>49</v>
      </c>
      <c r="D116" s="10">
        <f>TRUNC(C116/$D$113)</f>
        <v>0</v>
      </c>
      <c r="E116" s="151">
        <f>C116-D116*$D$113</f>
        <v>49</v>
      </c>
      <c r="F116" s="82">
        <v>1</v>
      </c>
      <c r="G116" s="161">
        <v>1</v>
      </c>
    </row>
    <row r="117" spans="2:10" ht="31.2" x14ac:dyDescent="0.3">
      <c r="B117" s="65" t="s">
        <v>338</v>
      </c>
      <c r="C117" s="13">
        <v>38</v>
      </c>
      <c r="D117" s="13">
        <f t="shared" ref="D117:D123" si="14">TRUNC(C117/$D$113)</f>
        <v>0</v>
      </c>
      <c r="E117" s="153">
        <f t="shared" ref="E117:E123" si="15">C117-D117*$D$113</f>
        <v>38</v>
      </c>
      <c r="F117" s="16">
        <v>1</v>
      </c>
      <c r="G117" s="158">
        <v>1</v>
      </c>
    </row>
    <row r="118" spans="2:10" x14ac:dyDescent="0.3">
      <c r="B118" s="9" t="s">
        <v>339</v>
      </c>
      <c r="C118" s="10">
        <v>37</v>
      </c>
      <c r="D118" s="10">
        <f t="shared" si="14"/>
        <v>0</v>
      </c>
      <c r="E118" s="10">
        <f t="shared" si="15"/>
        <v>37</v>
      </c>
      <c r="F118" s="82">
        <v>0</v>
      </c>
      <c r="G118" s="159">
        <v>0</v>
      </c>
    </row>
    <row r="119" spans="2:10" x14ac:dyDescent="0.3">
      <c r="B119" s="65" t="s">
        <v>134</v>
      </c>
      <c r="C119" s="13">
        <v>34</v>
      </c>
      <c r="D119" s="13">
        <f t="shared" si="14"/>
        <v>0</v>
      </c>
      <c r="E119" s="13">
        <f t="shared" si="15"/>
        <v>34</v>
      </c>
      <c r="F119" s="16">
        <v>0</v>
      </c>
      <c r="G119" s="158">
        <v>0</v>
      </c>
    </row>
    <row r="120" spans="2:10" x14ac:dyDescent="0.3">
      <c r="B120" s="9" t="s">
        <v>135</v>
      </c>
      <c r="C120" s="10">
        <v>15</v>
      </c>
      <c r="D120" s="10">
        <f t="shared" si="14"/>
        <v>0</v>
      </c>
      <c r="E120" s="10">
        <f t="shared" si="15"/>
        <v>15</v>
      </c>
      <c r="F120" s="82">
        <v>0</v>
      </c>
      <c r="G120" s="159">
        <v>0</v>
      </c>
    </row>
    <row r="121" spans="2:10" x14ac:dyDescent="0.3">
      <c r="B121" s="65" t="s">
        <v>136</v>
      </c>
      <c r="C121" s="13">
        <v>12</v>
      </c>
      <c r="D121" s="13">
        <f t="shared" si="14"/>
        <v>0</v>
      </c>
      <c r="E121" s="13">
        <f t="shared" si="15"/>
        <v>12</v>
      </c>
      <c r="F121" s="16">
        <v>0</v>
      </c>
      <c r="G121" s="158">
        <v>0</v>
      </c>
    </row>
    <row r="122" spans="2:10" x14ac:dyDescent="0.3">
      <c r="B122" s="9" t="s">
        <v>130</v>
      </c>
      <c r="C122" s="10">
        <v>10</v>
      </c>
      <c r="D122" s="10">
        <f t="shared" si="14"/>
        <v>0</v>
      </c>
      <c r="E122" s="10">
        <f t="shared" si="15"/>
        <v>10</v>
      </c>
      <c r="F122" s="82">
        <v>0</v>
      </c>
      <c r="G122" s="159">
        <v>0</v>
      </c>
    </row>
    <row r="123" spans="2:10" x14ac:dyDescent="0.3">
      <c r="B123" s="66" t="s">
        <v>132</v>
      </c>
      <c r="C123" s="64">
        <v>5</v>
      </c>
      <c r="D123" s="64">
        <f t="shared" si="14"/>
        <v>0</v>
      </c>
      <c r="E123" s="64">
        <f t="shared" si="15"/>
        <v>5</v>
      </c>
      <c r="F123" s="64">
        <v>0</v>
      </c>
      <c r="G123" s="160">
        <v>0</v>
      </c>
    </row>
    <row r="124" spans="2:10" x14ac:dyDescent="0.3">
      <c r="C124" s="409">
        <f>SUM(D118:D123)</f>
        <v>0</v>
      </c>
      <c r="D124" s="409"/>
      <c r="G124" s="75">
        <f>SUM(G116:G123)</f>
        <v>2</v>
      </c>
    </row>
    <row r="125" spans="2:10" x14ac:dyDescent="0.3">
      <c r="C125" s="404">
        <f>D111-C124</f>
        <v>2</v>
      </c>
      <c r="D125" s="404"/>
    </row>
    <row r="128" spans="2:10" ht="18.600000000000001" thickBot="1" x14ac:dyDescent="0.35">
      <c r="B128" s="76" t="s">
        <v>8</v>
      </c>
      <c r="C128" s="77"/>
      <c r="D128" s="77"/>
      <c r="E128" s="77"/>
      <c r="F128" s="77"/>
      <c r="G128" s="77"/>
      <c r="H128" s="47"/>
      <c r="I128" s="47"/>
      <c r="J128" s="47"/>
    </row>
    <row r="130" spans="2:11" x14ac:dyDescent="0.3">
      <c r="B130" s="408" t="s">
        <v>436</v>
      </c>
      <c r="C130" s="408"/>
      <c r="D130" s="62">
        <v>20</v>
      </c>
    </row>
    <row r="131" spans="2:11" x14ac:dyDescent="0.3">
      <c r="B131" s="408" t="s">
        <v>330</v>
      </c>
      <c r="C131" s="408"/>
      <c r="D131">
        <v>577</v>
      </c>
    </row>
    <row r="132" spans="2:11" x14ac:dyDescent="0.3">
      <c r="B132" s="405" t="s">
        <v>438</v>
      </c>
      <c r="C132" s="405"/>
      <c r="D132" s="63">
        <f>D131/D130</f>
        <v>28.85</v>
      </c>
    </row>
    <row r="134" spans="2:11" ht="43.2" x14ac:dyDescent="0.3">
      <c r="B134" s="31" t="s">
        <v>327</v>
      </c>
      <c r="C134" s="32" t="s">
        <v>331</v>
      </c>
      <c r="D134" s="32" t="s">
        <v>439</v>
      </c>
      <c r="E134" s="79" t="s">
        <v>379</v>
      </c>
      <c r="F134" s="80" t="s">
        <v>440</v>
      </c>
      <c r="G134" s="33" t="s">
        <v>332</v>
      </c>
      <c r="H134" s="12"/>
      <c r="I134" s="12"/>
      <c r="J134" s="12"/>
      <c r="K134" s="15"/>
    </row>
    <row r="135" spans="2:11" x14ac:dyDescent="0.3">
      <c r="B135" s="9" t="s">
        <v>444</v>
      </c>
      <c r="C135" s="10">
        <v>288</v>
      </c>
      <c r="D135" s="10">
        <f>TRUNC(C135/$D$132)</f>
        <v>9</v>
      </c>
      <c r="E135" s="151">
        <f>C135-D135*$D$132</f>
        <v>28.349999999999966</v>
      </c>
      <c r="F135" s="82">
        <v>1</v>
      </c>
      <c r="G135" s="161">
        <v>10</v>
      </c>
      <c r="H135" s="12"/>
      <c r="I135" s="12"/>
      <c r="J135" s="12"/>
      <c r="K135" s="12"/>
    </row>
    <row r="136" spans="2:11" x14ac:dyDescent="0.3">
      <c r="B136" s="65" t="s">
        <v>443</v>
      </c>
      <c r="C136" s="13">
        <v>199</v>
      </c>
      <c r="D136" s="13">
        <f t="shared" ref="D136:D141" si="16">TRUNC(C136/$D$132)</f>
        <v>6</v>
      </c>
      <c r="E136" s="153">
        <f t="shared" ref="E136:E141" si="17">C136-D136*$D$132</f>
        <v>25.899999999999977</v>
      </c>
      <c r="F136" s="16">
        <v>1</v>
      </c>
      <c r="G136" s="158">
        <v>7</v>
      </c>
      <c r="H136" s="12"/>
      <c r="I136" s="12"/>
      <c r="J136" s="12"/>
      <c r="K136" s="12"/>
    </row>
    <row r="137" spans="2:11" x14ac:dyDescent="0.3">
      <c r="B137" s="9" t="s">
        <v>140</v>
      </c>
      <c r="C137" s="10">
        <v>27</v>
      </c>
      <c r="D137" s="10">
        <f t="shared" si="16"/>
        <v>0</v>
      </c>
      <c r="E137" s="151">
        <f t="shared" si="17"/>
        <v>27</v>
      </c>
      <c r="F137" s="82">
        <v>1</v>
      </c>
      <c r="G137" s="159">
        <v>1</v>
      </c>
      <c r="H137" s="12"/>
      <c r="J137" s="12"/>
      <c r="K137" s="12"/>
    </row>
    <row r="138" spans="2:11" x14ac:dyDescent="0.3">
      <c r="B138" s="65" t="s">
        <v>141</v>
      </c>
      <c r="C138" s="13">
        <v>18</v>
      </c>
      <c r="D138" s="13">
        <f t="shared" si="16"/>
        <v>0</v>
      </c>
      <c r="E138" s="153">
        <f t="shared" si="17"/>
        <v>18</v>
      </c>
      <c r="F138" s="16">
        <v>1</v>
      </c>
      <c r="G138" s="158">
        <v>1</v>
      </c>
      <c r="H138" s="12"/>
      <c r="I138" s="12"/>
      <c r="J138" s="12"/>
      <c r="K138" s="12"/>
    </row>
    <row r="139" spans="2:11" x14ac:dyDescent="0.3">
      <c r="B139" s="9" t="s">
        <v>142</v>
      </c>
      <c r="C139" s="10">
        <v>15</v>
      </c>
      <c r="D139" s="10">
        <f t="shared" si="16"/>
        <v>0</v>
      </c>
      <c r="E139" s="151">
        <f t="shared" si="17"/>
        <v>15</v>
      </c>
      <c r="F139" s="82">
        <v>1</v>
      </c>
      <c r="G139" s="159">
        <v>1</v>
      </c>
      <c r="H139" s="12"/>
      <c r="I139" s="12"/>
      <c r="J139" s="12"/>
      <c r="K139" s="12"/>
    </row>
    <row r="140" spans="2:11" x14ac:dyDescent="0.3">
      <c r="B140" s="65" t="s">
        <v>143</v>
      </c>
      <c r="C140" s="13">
        <v>25</v>
      </c>
      <c r="D140" s="13">
        <f t="shared" si="16"/>
        <v>0</v>
      </c>
      <c r="E140" s="162">
        <f t="shared" si="17"/>
        <v>25</v>
      </c>
      <c r="F140" s="16">
        <v>0</v>
      </c>
      <c r="G140" s="158">
        <v>0</v>
      </c>
      <c r="H140" s="12"/>
      <c r="I140" s="12"/>
      <c r="J140" s="12"/>
      <c r="K140" s="12"/>
    </row>
    <row r="141" spans="2:11" x14ac:dyDescent="0.3">
      <c r="B141" s="99" t="s">
        <v>445</v>
      </c>
      <c r="C141" s="100">
        <v>5</v>
      </c>
      <c r="D141" s="100">
        <f t="shared" si="16"/>
        <v>0</v>
      </c>
      <c r="E141" s="100">
        <f t="shared" si="17"/>
        <v>5</v>
      </c>
      <c r="F141" s="100">
        <v>0</v>
      </c>
      <c r="G141" s="164">
        <v>0</v>
      </c>
      <c r="H141" s="12"/>
      <c r="I141" s="12"/>
      <c r="J141" s="12"/>
      <c r="K141" s="12"/>
    </row>
    <row r="142" spans="2:11" x14ac:dyDescent="0.3">
      <c r="C142" s="409">
        <f>SUM(D135:D141)</f>
        <v>15</v>
      </c>
      <c r="D142" s="409"/>
      <c r="G142" s="82">
        <f>SUM(G135:G141)</f>
        <v>20</v>
      </c>
      <c r="H142" s="12"/>
      <c r="I142" s="12"/>
      <c r="J142" s="12"/>
      <c r="K142" s="12"/>
    </row>
    <row r="143" spans="2:11" x14ac:dyDescent="0.3">
      <c r="C143" s="404">
        <f>D130-C142</f>
        <v>5</v>
      </c>
      <c r="D143" s="404"/>
      <c r="G143" s="12"/>
      <c r="H143" s="12"/>
      <c r="I143" s="12"/>
      <c r="J143" s="12"/>
      <c r="K143" s="12"/>
    </row>
    <row r="144" spans="2:11" x14ac:dyDescent="0.3">
      <c r="F144" s="12"/>
      <c r="H144" s="12"/>
      <c r="I144" s="12"/>
      <c r="J144" s="12"/>
      <c r="K144" s="12"/>
    </row>
    <row r="145" spans="2:11" x14ac:dyDescent="0.3">
      <c r="F145" s="12"/>
      <c r="H145" s="12"/>
      <c r="I145" s="12"/>
      <c r="J145" s="12"/>
      <c r="K145" s="12"/>
    </row>
    <row r="146" spans="2:11" ht="18.600000000000001" thickBot="1" x14ac:dyDescent="0.35">
      <c r="B146" s="76" t="s">
        <v>20</v>
      </c>
      <c r="C146" s="77"/>
      <c r="D146" s="77"/>
      <c r="E146" s="77"/>
      <c r="F146" s="77"/>
      <c r="G146" s="77"/>
    </row>
    <row r="148" spans="2:11" x14ac:dyDescent="0.3">
      <c r="B148" s="408" t="s">
        <v>436</v>
      </c>
      <c r="C148" s="408"/>
      <c r="D148" s="62">
        <v>3</v>
      </c>
    </row>
    <row r="149" spans="2:11" x14ac:dyDescent="0.3">
      <c r="B149" s="408" t="s">
        <v>330</v>
      </c>
      <c r="C149" s="408"/>
      <c r="D149">
        <v>300</v>
      </c>
    </row>
    <row r="150" spans="2:11" x14ac:dyDescent="0.3">
      <c r="B150" s="405" t="s">
        <v>438</v>
      </c>
      <c r="C150" s="405"/>
      <c r="D150" s="63">
        <f>D149/D148</f>
        <v>100</v>
      </c>
    </row>
    <row r="152" spans="2:11" ht="43.2" x14ac:dyDescent="0.3">
      <c r="B152" s="31" t="s">
        <v>327</v>
      </c>
      <c r="C152" s="32" t="s">
        <v>331</v>
      </c>
      <c r="D152" s="32" t="s">
        <v>439</v>
      </c>
      <c r="E152" s="79" t="s">
        <v>379</v>
      </c>
      <c r="F152" s="80" t="s">
        <v>440</v>
      </c>
      <c r="G152" s="67" t="s">
        <v>332</v>
      </c>
    </row>
    <row r="153" spans="2:11" x14ac:dyDescent="0.3">
      <c r="B153" s="9" t="s">
        <v>155</v>
      </c>
      <c r="C153" s="10">
        <v>144</v>
      </c>
      <c r="D153" s="10">
        <f>TRUNC(C153/$D$150)</f>
        <v>1</v>
      </c>
      <c r="E153" s="151">
        <f>C153-D153*$D$150</f>
        <v>44</v>
      </c>
      <c r="F153" s="68">
        <v>1</v>
      </c>
      <c r="G153" s="159">
        <v>2</v>
      </c>
    </row>
    <row r="154" spans="2:11" x14ac:dyDescent="0.3">
      <c r="B154" s="65" t="s">
        <v>157</v>
      </c>
      <c r="C154" s="13">
        <v>76</v>
      </c>
      <c r="D154" s="13">
        <f t="shared" ref="D154:D161" si="18">TRUNC(C154/$D$150)</f>
        <v>0</v>
      </c>
      <c r="E154" s="153">
        <f t="shared" ref="E154:E161" si="19">C154-D154*$D$150</f>
        <v>76</v>
      </c>
      <c r="F154" s="8">
        <v>1</v>
      </c>
      <c r="G154" s="158">
        <v>1</v>
      </c>
    </row>
    <row r="155" spans="2:11" ht="31.2" x14ac:dyDescent="0.3">
      <c r="B155" s="9" t="s">
        <v>451</v>
      </c>
      <c r="C155" s="10">
        <v>18</v>
      </c>
      <c r="D155" s="10">
        <f t="shared" si="18"/>
        <v>0</v>
      </c>
      <c r="E155" s="10">
        <f t="shared" si="19"/>
        <v>18</v>
      </c>
      <c r="F155" s="68">
        <v>0</v>
      </c>
      <c r="G155" s="159">
        <v>0</v>
      </c>
    </row>
    <row r="156" spans="2:11" x14ac:dyDescent="0.3">
      <c r="B156" s="65" t="s">
        <v>153</v>
      </c>
      <c r="C156" s="13">
        <v>18</v>
      </c>
      <c r="D156" s="13">
        <f t="shared" si="18"/>
        <v>0</v>
      </c>
      <c r="E156" s="13">
        <f t="shared" si="19"/>
        <v>18</v>
      </c>
      <c r="F156" s="8">
        <v>0</v>
      </c>
      <c r="G156" s="158">
        <v>0</v>
      </c>
    </row>
    <row r="157" spans="2:11" x14ac:dyDescent="0.3">
      <c r="B157" s="9" t="s">
        <v>163</v>
      </c>
      <c r="C157" s="10">
        <v>15</v>
      </c>
      <c r="D157" s="10">
        <f t="shared" si="18"/>
        <v>0</v>
      </c>
      <c r="E157" s="10">
        <f t="shared" si="19"/>
        <v>15</v>
      </c>
      <c r="F157" s="68">
        <v>0</v>
      </c>
      <c r="G157" s="159">
        <v>0</v>
      </c>
    </row>
    <row r="158" spans="2:11" x14ac:dyDescent="0.3">
      <c r="B158" s="65" t="s">
        <v>354</v>
      </c>
      <c r="C158" s="13">
        <v>9</v>
      </c>
      <c r="D158" s="13">
        <f t="shared" si="18"/>
        <v>0</v>
      </c>
      <c r="E158" s="13">
        <f t="shared" si="19"/>
        <v>9</v>
      </c>
      <c r="F158" s="8">
        <v>0</v>
      </c>
      <c r="G158" s="158">
        <v>0</v>
      </c>
    </row>
    <row r="159" spans="2:11" ht="31.2" x14ac:dyDescent="0.3">
      <c r="B159" s="9" t="s">
        <v>168</v>
      </c>
      <c r="C159" s="10">
        <v>8</v>
      </c>
      <c r="D159" s="10">
        <f t="shared" si="18"/>
        <v>0</v>
      </c>
      <c r="E159" s="10">
        <f t="shared" si="19"/>
        <v>8</v>
      </c>
      <c r="F159" s="68">
        <v>0</v>
      </c>
      <c r="G159" s="159">
        <v>0</v>
      </c>
    </row>
    <row r="160" spans="2:11" x14ac:dyDescent="0.3">
      <c r="B160" s="65" t="s">
        <v>169</v>
      </c>
      <c r="C160" s="13">
        <v>6</v>
      </c>
      <c r="D160" s="13">
        <f t="shared" si="18"/>
        <v>0</v>
      </c>
      <c r="E160" s="13">
        <f t="shared" si="19"/>
        <v>6</v>
      </c>
      <c r="F160" s="8">
        <v>0</v>
      </c>
      <c r="G160" s="158">
        <v>0</v>
      </c>
    </row>
    <row r="161" spans="2:8" x14ac:dyDescent="0.3">
      <c r="B161" s="85" t="s">
        <v>44</v>
      </c>
      <c r="C161" s="90">
        <v>6</v>
      </c>
      <c r="D161" s="90">
        <f t="shared" si="18"/>
        <v>0</v>
      </c>
      <c r="E161" s="90">
        <f t="shared" si="19"/>
        <v>6</v>
      </c>
      <c r="F161" s="101">
        <v>0</v>
      </c>
      <c r="G161" s="91">
        <v>0</v>
      </c>
    </row>
    <row r="162" spans="2:8" x14ac:dyDescent="0.3">
      <c r="C162" s="409">
        <f>SUM(D153:D161)</f>
        <v>1</v>
      </c>
      <c r="D162" s="409"/>
      <c r="G162" s="89">
        <f>SUM(G153:G161)</f>
        <v>3</v>
      </c>
    </row>
    <row r="163" spans="2:8" x14ac:dyDescent="0.3">
      <c r="C163" s="404">
        <f>D148-C162</f>
        <v>2</v>
      </c>
      <c r="D163" s="404"/>
    </row>
    <row r="166" spans="2:8" ht="18.600000000000001" thickBot="1" x14ac:dyDescent="0.35">
      <c r="B166" s="76" t="s">
        <v>9</v>
      </c>
      <c r="C166" s="77"/>
      <c r="D166" s="77"/>
      <c r="E166" s="77"/>
      <c r="F166" s="77"/>
      <c r="G166" s="77"/>
    </row>
    <row r="168" spans="2:8" x14ac:dyDescent="0.3">
      <c r="B168" s="408" t="s">
        <v>436</v>
      </c>
      <c r="C168" s="408"/>
      <c r="D168" s="62">
        <v>1</v>
      </c>
    </row>
    <row r="169" spans="2:8" x14ac:dyDescent="0.3">
      <c r="B169" s="408" t="s">
        <v>330</v>
      </c>
      <c r="C169" s="408"/>
      <c r="D169">
        <v>158</v>
      </c>
    </row>
    <row r="170" spans="2:8" x14ac:dyDescent="0.3">
      <c r="B170" s="405" t="s">
        <v>438</v>
      </c>
      <c r="C170" s="405"/>
      <c r="D170" s="63">
        <f>D169/D168</f>
        <v>158</v>
      </c>
    </row>
    <row r="172" spans="2:8" ht="43.2" x14ac:dyDescent="0.3">
      <c r="B172" s="31" t="s">
        <v>327</v>
      </c>
      <c r="C172" s="32" t="s">
        <v>331</v>
      </c>
      <c r="D172" s="32" t="s">
        <v>439</v>
      </c>
      <c r="E172" s="79" t="s">
        <v>379</v>
      </c>
      <c r="F172" s="80" t="s">
        <v>440</v>
      </c>
      <c r="G172" s="67" t="s">
        <v>332</v>
      </c>
      <c r="H172" s="1"/>
    </row>
    <row r="173" spans="2:8" x14ac:dyDescent="0.3">
      <c r="B173" s="166" t="s">
        <v>355</v>
      </c>
      <c r="C173" s="10">
        <v>50</v>
      </c>
      <c r="D173" s="10">
        <f t="shared" ref="D173:D182" si="20">TRUNC(C173/$D$170)</f>
        <v>0</v>
      </c>
      <c r="E173" s="151">
        <f t="shared" ref="E173:E182" si="21">C173-D173*$D$170</f>
        <v>50</v>
      </c>
      <c r="F173" s="68">
        <v>1</v>
      </c>
      <c r="G173" s="154">
        <f t="shared" ref="G173:G182" si="22">F173</f>
        <v>1</v>
      </c>
    </row>
    <row r="174" spans="2:8" x14ac:dyDescent="0.3">
      <c r="B174" s="167" t="s">
        <v>177</v>
      </c>
      <c r="C174" s="13">
        <v>44</v>
      </c>
      <c r="D174" s="13">
        <f t="shared" si="20"/>
        <v>0</v>
      </c>
      <c r="E174" s="165">
        <f t="shared" si="21"/>
        <v>44</v>
      </c>
      <c r="F174" s="8">
        <v>0</v>
      </c>
      <c r="G174" s="155">
        <f t="shared" si="22"/>
        <v>0</v>
      </c>
    </row>
    <row r="175" spans="2:8" x14ac:dyDescent="0.3">
      <c r="B175" s="166" t="s">
        <v>178</v>
      </c>
      <c r="C175" s="10">
        <v>23</v>
      </c>
      <c r="D175" s="10">
        <f t="shared" si="20"/>
        <v>0</v>
      </c>
      <c r="E175" s="10">
        <f t="shared" si="21"/>
        <v>23</v>
      </c>
      <c r="F175" s="68">
        <v>0</v>
      </c>
      <c r="G175" s="156">
        <f t="shared" si="22"/>
        <v>0</v>
      </c>
    </row>
    <row r="176" spans="2:8" x14ac:dyDescent="0.3">
      <c r="B176" s="167" t="s">
        <v>186</v>
      </c>
      <c r="C176" s="13">
        <v>7</v>
      </c>
      <c r="D176" s="13">
        <f t="shared" si="20"/>
        <v>0</v>
      </c>
      <c r="E176" s="13">
        <f t="shared" si="21"/>
        <v>7</v>
      </c>
      <c r="F176" s="8">
        <v>0</v>
      </c>
      <c r="G176" s="155">
        <f t="shared" si="22"/>
        <v>0</v>
      </c>
    </row>
    <row r="177" spans="2:7" x14ac:dyDescent="0.3">
      <c r="B177" s="166" t="s">
        <v>183</v>
      </c>
      <c r="C177" s="10">
        <v>6</v>
      </c>
      <c r="D177" s="10">
        <f t="shared" si="20"/>
        <v>0</v>
      </c>
      <c r="E177" s="10">
        <f t="shared" si="21"/>
        <v>6</v>
      </c>
      <c r="F177" s="68">
        <v>0</v>
      </c>
      <c r="G177" s="156">
        <f t="shared" si="22"/>
        <v>0</v>
      </c>
    </row>
    <row r="178" spans="2:7" x14ac:dyDescent="0.3">
      <c r="B178" s="167" t="s">
        <v>188</v>
      </c>
      <c r="C178" s="13">
        <v>4</v>
      </c>
      <c r="D178" s="13">
        <f t="shared" si="20"/>
        <v>0</v>
      </c>
      <c r="E178" s="13">
        <f t="shared" si="21"/>
        <v>4</v>
      </c>
      <c r="F178" s="8">
        <v>0</v>
      </c>
      <c r="G178" s="155">
        <f t="shared" si="22"/>
        <v>0</v>
      </c>
    </row>
    <row r="179" spans="2:7" x14ac:dyDescent="0.3">
      <c r="B179" s="166" t="s">
        <v>185</v>
      </c>
      <c r="C179" s="10">
        <v>3</v>
      </c>
      <c r="D179" s="10">
        <f t="shared" si="20"/>
        <v>0</v>
      </c>
      <c r="E179" s="10">
        <f t="shared" si="21"/>
        <v>3</v>
      </c>
      <c r="F179" s="68">
        <v>0</v>
      </c>
      <c r="G179" s="156">
        <f t="shared" si="22"/>
        <v>0</v>
      </c>
    </row>
    <row r="180" spans="2:7" x14ac:dyDescent="0.3">
      <c r="B180" s="167" t="s">
        <v>179</v>
      </c>
      <c r="C180" s="13">
        <v>2</v>
      </c>
      <c r="D180" s="13">
        <f t="shared" si="20"/>
        <v>0</v>
      </c>
      <c r="E180" s="13">
        <f t="shared" si="21"/>
        <v>2</v>
      </c>
      <c r="F180" s="8">
        <v>0</v>
      </c>
      <c r="G180" s="155">
        <f t="shared" si="22"/>
        <v>0</v>
      </c>
    </row>
    <row r="181" spans="2:7" x14ac:dyDescent="0.3">
      <c r="B181" s="84" t="s">
        <v>44</v>
      </c>
      <c r="C181" s="10">
        <v>11</v>
      </c>
      <c r="D181" s="10">
        <f t="shared" si="20"/>
        <v>0</v>
      </c>
      <c r="E181" s="10">
        <f t="shared" si="21"/>
        <v>11</v>
      </c>
      <c r="F181" s="68">
        <v>0</v>
      </c>
      <c r="G181" s="156">
        <f t="shared" si="22"/>
        <v>0</v>
      </c>
    </row>
    <row r="182" spans="2:7" x14ac:dyDescent="0.3">
      <c r="B182" s="103" t="s">
        <v>180</v>
      </c>
      <c r="C182" s="64">
        <v>8</v>
      </c>
      <c r="D182" s="64">
        <f t="shared" si="20"/>
        <v>0</v>
      </c>
      <c r="E182" s="64">
        <f t="shared" si="21"/>
        <v>8</v>
      </c>
      <c r="F182" s="69">
        <v>0</v>
      </c>
      <c r="G182" s="168">
        <f t="shared" si="22"/>
        <v>0</v>
      </c>
    </row>
    <row r="183" spans="2:7" x14ac:dyDescent="0.3">
      <c r="C183" s="409">
        <f>SUM(D173:D182)</f>
        <v>0</v>
      </c>
      <c r="D183" s="409"/>
      <c r="G183" s="89">
        <f>SUM(G174:G182)</f>
        <v>0</v>
      </c>
    </row>
    <row r="184" spans="2:7" x14ac:dyDescent="0.3">
      <c r="C184" s="404">
        <f>D168-C183</f>
        <v>1</v>
      </c>
      <c r="D184" s="404"/>
    </row>
    <row r="187" spans="2:7" ht="18.600000000000001" thickBot="1" x14ac:dyDescent="0.35">
      <c r="B187" s="76" t="s">
        <v>10</v>
      </c>
      <c r="C187" s="77"/>
      <c r="D187" s="77"/>
      <c r="E187" s="77"/>
      <c r="F187" s="77"/>
      <c r="G187" s="77"/>
    </row>
    <row r="189" spans="2:7" x14ac:dyDescent="0.3">
      <c r="B189" s="408" t="s">
        <v>436</v>
      </c>
      <c r="C189" s="408"/>
      <c r="D189" s="62">
        <v>18</v>
      </c>
    </row>
    <row r="190" spans="2:7" x14ac:dyDescent="0.3">
      <c r="B190" s="408" t="s">
        <v>330</v>
      </c>
      <c r="C190" s="408"/>
      <c r="D190">
        <v>630</v>
      </c>
    </row>
    <row r="191" spans="2:7" x14ac:dyDescent="0.3">
      <c r="B191" s="405" t="s">
        <v>438</v>
      </c>
      <c r="C191" s="405"/>
      <c r="D191" s="63">
        <f>D190/D189</f>
        <v>35</v>
      </c>
    </row>
    <row r="193" spans="2:11" ht="43.2" x14ac:dyDescent="0.3">
      <c r="B193" s="31" t="s">
        <v>327</v>
      </c>
      <c r="C193" s="32" t="s">
        <v>331</v>
      </c>
      <c r="D193" s="32" t="s">
        <v>439</v>
      </c>
      <c r="E193" s="79" t="s">
        <v>379</v>
      </c>
      <c r="F193" s="80" t="s">
        <v>440</v>
      </c>
      <c r="G193" s="67" t="s">
        <v>332</v>
      </c>
    </row>
    <row r="194" spans="2:11" x14ac:dyDescent="0.3">
      <c r="B194" s="166" t="s">
        <v>193</v>
      </c>
      <c r="C194" s="10">
        <v>285</v>
      </c>
      <c r="D194" s="10">
        <f>TRUNC(C194/$D$191)</f>
        <v>8</v>
      </c>
      <c r="E194" s="172">
        <f>C194-D194*$D$191</f>
        <v>5</v>
      </c>
      <c r="F194" s="68">
        <v>0</v>
      </c>
      <c r="G194" s="154">
        <v>8</v>
      </c>
      <c r="H194" s="12"/>
      <c r="I194" s="12"/>
      <c r="J194" s="12"/>
      <c r="K194" s="12"/>
    </row>
    <row r="195" spans="2:11" x14ac:dyDescent="0.3">
      <c r="B195" s="167" t="s">
        <v>194</v>
      </c>
      <c r="C195" s="13">
        <v>91</v>
      </c>
      <c r="D195" s="13">
        <f t="shared" ref="D195:D204" si="23">TRUNC(C195/$D$191)</f>
        <v>2</v>
      </c>
      <c r="E195" s="153">
        <f t="shared" ref="E195:E205" si="24">C195-D195*$D$191</f>
        <v>21</v>
      </c>
      <c r="F195" s="8">
        <v>1</v>
      </c>
      <c r="G195" s="155">
        <v>3</v>
      </c>
      <c r="H195" s="12"/>
      <c r="I195" s="12"/>
      <c r="J195" s="12"/>
      <c r="K195" s="12"/>
    </row>
    <row r="196" spans="2:11" x14ac:dyDescent="0.3">
      <c r="B196" s="166" t="s">
        <v>195</v>
      </c>
      <c r="C196" s="10">
        <v>50</v>
      </c>
      <c r="D196" s="10">
        <f t="shared" si="23"/>
        <v>1</v>
      </c>
      <c r="E196" s="151">
        <f t="shared" si="24"/>
        <v>15</v>
      </c>
      <c r="F196" s="68">
        <v>1</v>
      </c>
      <c r="G196" s="156">
        <v>2</v>
      </c>
      <c r="H196" s="12"/>
      <c r="I196" s="12"/>
      <c r="J196" s="12"/>
      <c r="K196" s="12"/>
    </row>
    <row r="197" spans="2:11" x14ac:dyDescent="0.3">
      <c r="B197" s="167" t="s">
        <v>626</v>
      </c>
      <c r="C197" s="13">
        <v>36</v>
      </c>
      <c r="D197" s="13">
        <f t="shared" si="23"/>
        <v>1</v>
      </c>
      <c r="E197" s="13">
        <f>C197-D197*$D$191</f>
        <v>1</v>
      </c>
      <c r="F197" s="8">
        <v>0</v>
      </c>
      <c r="G197" s="155">
        <v>1</v>
      </c>
      <c r="H197" s="12"/>
      <c r="I197" s="12"/>
      <c r="J197" s="12"/>
      <c r="K197" s="12"/>
    </row>
    <row r="198" spans="2:11" x14ac:dyDescent="0.3">
      <c r="B198" s="166" t="s">
        <v>196</v>
      </c>
      <c r="C198" s="10">
        <v>15</v>
      </c>
      <c r="D198" s="10">
        <f t="shared" si="23"/>
        <v>0</v>
      </c>
      <c r="E198" s="10">
        <f t="shared" si="24"/>
        <v>15</v>
      </c>
      <c r="F198" s="68">
        <v>0</v>
      </c>
      <c r="G198" s="156">
        <v>0</v>
      </c>
      <c r="H198" s="12"/>
      <c r="I198" s="12"/>
      <c r="J198" s="12"/>
      <c r="K198" s="12"/>
    </row>
    <row r="199" spans="2:11" x14ac:dyDescent="0.3">
      <c r="B199" s="167" t="s">
        <v>197</v>
      </c>
      <c r="C199" s="13">
        <v>26</v>
      </c>
      <c r="D199" s="13">
        <f t="shared" si="23"/>
        <v>0</v>
      </c>
      <c r="E199" s="153">
        <f t="shared" si="24"/>
        <v>26</v>
      </c>
      <c r="F199" s="8">
        <v>1</v>
      </c>
      <c r="G199" s="155">
        <v>1</v>
      </c>
      <c r="H199" s="12"/>
      <c r="I199" s="12"/>
      <c r="J199" s="12"/>
      <c r="K199" s="12"/>
    </row>
    <row r="200" spans="2:11" x14ac:dyDescent="0.3">
      <c r="B200" s="166" t="s">
        <v>198</v>
      </c>
      <c r="C200" s="10">
        <v>16</v>
      </c>
      <c r="D200" s="10">
        <f t="shared" si="23"/>
        <v>0</v>
      </c>
      <c r="E200" s="151">
        <f t="shared" si="24"/>
        <v>16</v>
      </c>
      <c r="F200" s="68">
        <v>1</v>
      </c>
      <c r="G200" s="156">
        <v>1</v>
      </c>
      <c r="H200" s="12"/>
      <c r="I200" s="12"/>
      <c r="J200" s="12"/>
      <c r="K200" s="12"/>
    </row>
    <row r="201" spans="2:11" x14ac:dyDescent="0.3">
      <c r="B201" s="167" t="s">
        <v>199</v>
      </c>
      <c r="C201" s="13">
        <v>19</v>
      </c>
      <c r="D201" s="13">
        <f t="shared" si="23"/>
        <v>0</v>
      </c>
      <c r="E201" s="153">
        <f t="shared" si="24"/>
        <v>19</v>
      </c>
      <c r="F201" s="8">
        <v>1</v>
      </c>
      <c r="G201" s="155">
        <v>1</v>
      </c>
      <c r="H201" s="12"/>
      <c r="I201" s="12"/>
      <c r="J201" s="12"/>
      <c r="K201" s="12"/>
    </row>
    <row r="202" spans="2:11" x14ac:dyDescent="0.3">
      <c r="B202" s="84" t="s">
        <v>203</v>
      </c>
      <c r="C202" s="10">
        <v>16</v>
      </c>
      <c r="D202" s="10">
        <f t="shared" si="23"/>
        <v>0</v>
      </c>
      <c r="E202" s="151">
        <f t="shared" si="24"/>
        <v>16</v>
      </c>
      <c r="F202" s="68">
        <v>1</v>
      </c>
      <c r="G202" s="156">
        <v>1</v>
      </c>
      <c r="H202" s="12"/>
      <c r="I202" s="12"/>
      <c r="J202" s="12"/>
      <c r="K202" s="12"/>
    </row>
    <row r="203" spans="2:11" x14ac:dyDescent="0.3">
      <c r="B203" s="167" t="s">
        <v>200</v>
      </c>
      <c r="C203" s="13">
        <v>14</v>
      </c>
      <c r="D203" s="13">
        <f t="shared" si="23"/>
        <v>0</v>
      </c>
      <c r="E203" s="13">
        <f t="shared" si="24"/>
        <v>14</v>
      </c>
      <c r="F203" s="8">
        <v>0</v>
      </c>
      <c r="G203" s="155">
        <v>0</v>
      </c>
      <c r="H203" s="12"/>
      <c r="I203" s="12"/>
      <c r="J203" s="12"/>
      <c r="K203" s="12"/>
    </row>
    <row r="204" spans="2:11" x14ac:dyDescent="0.3">
      <c r="B204" s="166" t="s">
        <v>201</v>
      </c>
      <c r="C204" s="10">
        <v>11</v>
      </c>
      <c r="D204" s="10">
        <f t="shared" si="23"/>
        <v>0</v>
      </c>
      <c r="E204" s="10">
        <f t="shared" si="24"/>
        <v>11</v>
      </c>
      <c r="F204" s="68">
        <v>0</v>
      </c>
      <c r="G204" s="156">
        <v>0</v>
      </c>
      <c r="H204" s="12"/>
      <c r="I204" s="12"/>
      <c r="J204" s="12"/>
      <c r="K204" s="12"/>
    </row>
    <row r="205" spans="2:11" x14ac:dyDescent="0.3">
      <c r="B205" s="224" t="s">
        <v>109</v>
      </c>
      <c r="C205" s="64">
        <v>51</v>
      </c>
      <c r="D205" s="152">
        <f t="shared" ref="D205" si="25">TRUNC(C205/$D$191)</f>
        <v>1</v>
      </c>
      <c r="E205" s="64">
        <f t="shared" si="24"/>
        <v>16</v>
      </c>
      <c r="F205" s="140">
        <v>0</v>
      </c>
      <c r="G205" s="225">
        <v>0</v>
      </c>
      <c r="H205" s="12"/>
      <c r="I205" s="12"/>
      <c r="J205" s="12"/>
      <c r="K205" s="12"/>
    </row>
    <row r="206" spans="2:11" x14ac:dyDescent="0.3">
      <c r="C206" s="409">
        <f>SUM(D194:D204)</f>
        <v>12</v>
      </c>
      <c r="D206" s="409"/>
      <c r="G206" s="89">
        <f>SUM(G194:G205)</f>
        <v>18</v>
      </c>
      <c r="H206" s="12"/>
      <c r="I206" s="12"/>
      <c r="J206" s="12"/>
      <c r="K206" s="12"/>
    </row>
    <row r="207" spans="2:11" x14ac:dyDescent="0.3">
      <c r="C207" s="404">
        <f>D189-C206</f>
        <v>6</v>
      </c>
      <c r="D207" s="404"/>
      <c r="G207" s="1" t="s">
        <v>517</v>
      </c>
    </row>
    <row r="210" spans="2:7" ht="18.600000000000001" thickBot="1" x14ac:dyDescent="0.35">
      <c r="B210" s="76" t="s">
        <v>18</v>
      </c>
      <c r="C210" s="77"/>
      <c r="D210" s="77"/>
      <c r="E210" s="77"/>
      <c r="F210" s="77"/>
      <c r="G210" s="77"/>
    </row>
    <row r="212" spans="2:7" x14ac:dyDescent="0.3">
      <c r="B212" s="408" t="s">
        <v>436</v>
      </c>
      <c r="C212" s="408"/>
      <c r="D212" s="62">
        <v>1</v>
      </c>
    </row>
    <row r="213" spans="2:7" x14ac:dyDescent="0.3">
      <c r="B213" s="408" t="s">
        <v>330</v>
      </c>
      <c r="C213" s="408"/>
      <c r="D213">
        <v>100</v>
      </c>
    </row>
    <row r="214" spans="2:7" x14ac:dyDescent="0.3">
      <c r="B214" s="405" t="s">
        <v>438</v>
      </c>
      <c r="C214" s="405"/>
      <c r="D214" s="63">
        <f>D213/D212</f>
        <v>100</v>
      </c>
    </row>
    <row r="216" spans="2:7" ht="43.2" x14ac:dyDescent="0.3">
      <c r="B216" s="31" t="s">
        <v>327</v>
      </c>
      <c r="C216" s="32" t="s">
        <v>331</v>
      </c>
      <c r="D216" s="32" t="s">
        <v>439</v>
      </c>
      <c r="E216" s="79" t="s">
        <v>379</v>
      </c>
      <c r="F216" s="80" t="s">
        <v>440</v>
      </c>
      <c r="G216" s="67" t="s">
        <v>332</v>
      </c>
    </row>
    <row r="217" spans="2:7" x14ac:dyDescent="0.3">
      <c r="B217" s="84" t="s">
        <v>219</v>
      </c>
      <c r="C217" s="10">
        <v>24</v>
      </c>
      <c r="D217" s="10">
        <f>TRUNC(C217/$D$214)</f>
        <v>0</v>
      </c>
      <c r="E217" s="151">
        <f>C217-D217*$D$214</f>
        <v>24</v>
      </c>
      <c r="F217" s="68">
        <v>1</v>
      </c>
      <c r="G217" s="154">
        <v>1</v>
      </c>
    </row>
    <row r="218" spans="2:7" x14ac:dyDescent="0.3">
      <c r="B218" s="78" t="s">
        <v>356</v>
      </c>
      <c r="C218" s="13">
        <v>23</v>
      </c>
      <c r="D218" s="13">
        <f t="shared" ref="D218:D223" si="26">TRUNC(C218/$D$214)</f>
        <v>0</v>
      </c>
      <c r="E218" s="165">
        <f t="shared" ref="E218:E223" si="27">C218-D218*$D$214</f>
        <v>23</v>
      </c>
      <c r="F218" s="8">
        <v>0</v>
      </c>
      <c r="G218" s="155">
        <v>0</v>
      </c>
    </row>
    <row r="219" spans="2:7" x14ac:dyDescent="0.3">
      <c r="B219" s="84" t="s">
        <v>357</v>
      </c>
      <c r="C219" s="10">
        <v>21</v>
      </c>
      <c r="D219" s="10">
        <f t="shared" si="26"/>
        <v>0</v>
      </c>
      <c r="E219" s="172">
        <f t="shared" si="27"/>
        <v>21</v>
      </c>
      <c r="F219" s="68">
        <v>0</v>
      </c>
      <c r="G219" s="156">
        <v>0</v>
      </c>
    </row>
    <row r="220" spans="2:7" x14ac:dyDescent="0.3">
      <c r="B220" s="78" t="s">
        <v>358</v>
      </c>
      <c r="C220" s="13">
        <v>17</v>
      </c>
      <c r="D220" s="13">
        <f t="shared" si="26"/>
        <v>0</v>
      </c>
      <c r="E220" s="165">
        <f t="shared" si="27"/>
        <v>17</v>
      </c>
      <c r="F220" s="8">
        <v>0</v>
      </c>
      <c r="G220" s="155">
        <v>0</v>
      </c>
    </row>
    <row r="221" spans="2:7" x14ac:dyDescent="0.3">
      <c r="B221" s="84" t="s">
        <v>220</v>
      </c>
      <c r="C221" s="10">
        <v>7</v>
      </c>
      <c r="D221" s="10">
        <f t="shared" si="26"/>
        <v>0</v>
      </c>
      <c r="E221" s="172">
        <f t="shared" si="27"/>
        <v>7</v>
      </c>
      <c r="F221" s="68">
        <v>0</v>
      </c>
      <c r="G221" s="156">
        <v>0</v>
      </c>
    </row>
    <row r="222" spans="2:7" x14ac:dyDescent="0.3">
      <c r="B222" s="78" t="s">
        <v>221</v>
      </c>
      <c r="C222" s="13">
        <v>7</v>
      </c>
      <c r="D222" s="13">
        <f t="shared" si="26"/>
        <v>0</v>
      </c>
      <c r="E222" s="165">
        <f t="shared" si="27"/>
        <v>7</v>
      </c>
      <c r="F222" s="8">
        <v>0</v>
      </c>
      <c r="G222" s="155">
        <v>0</v>
      </c>
    </row>
    <row r="223" spans="2:7" x14ac:dyDescent="0.3">
      <c r="B223" s="98" t="s">
        <v>222</v>
      </c>
      <c r="C223" s="100">
        <v>1</v>
      </c>
      <c r="D223" s="100">
        <f t="shared" si="26"/>
        <v>0</v>
      </c>
      <c r="E223" s="173">
        <f t="shared" si="27"/>
        <v>1</v>
      </c>
      <c r="F223" s="101">
        <v>0</v>
      </c>
      <c r="G223" s="157">
        <v>0</v>
      </c>
    </row>
    <row r="224" spans="2:7" x14ac:dyDescent="0.3">
      <c r="C224" s="409">
        <f>SUM(D217:D223)</f>
        <v>0</v>
      </c>
      <c r="D224" s="409"/>
      <c r="G224" s="89">
        <f>SUM(G217:G223)</f>
        <v>1</v>
      </c>
    </row>
    <row r="225" spans="2:7" x14ac:dyDescent="0.3">
      <c r="C225" s="404">
        <f>D212-C224</f>
        <v>1</v>
      </c>
      <c r="D225" s="404"/>
    </row>
    <row r="228" spans="2:7" ht="18.600000000000001" thickBot="1" x14ac:dyDescent="0.35">
      <c r="B228" s="76" t="s">
        <v>19</v>
      </c>
      <c r="C228" s="77"/>
      <c r="D228" s="77"/>
      <c r="E228" s="77"/>
      <c r="F228" s="77"/>
      <c r="G228" s="77"/>
    </row>
    <row r="230" spans="2:7" x14ac:dyDescent="0.3">
      <c r="B230" s="408" t="s">
        <v>436</v>
      </c>
      <c r="C230" s="408"/>
      <c r="D230">
        <v>1</v>
      </c>
    </row>
    <row r="231" spans="2:7" x14ac:dyDescent="0.3">
      <c r="B231" s="408" t="s">
        <v>330</v>
      </c>
      <c r="C231" s="408"/>
      <c r="D231">
        <v>139</v>
      </c>
    </row>
    <row r="232" spans="2:7" x14ac:dyDescent="0.3">
      <c r="B232" s="405" t="s">
        <v>438</v>
      </c>
      <c r="C232" s="405"/>
      <c r="D232" s="63">
        <f>D231/D230</f>
        <v>139</v>
      </c>
    </row>
    <row r="234" spans="2:7" ht="43.2" x14ac:dyDescent="0.3">
      <c r="B234" s="31" t="s">
        <v>327</v>
      </c>
      <c r="C234" s="32" t="s">
        <v>331</v>
      </c>
      <c r="D234" s="32" t="s">
        <v>439</v>
      </c>
      <c r="E234" s="79" t="s">
        <v>379</v>
      </c>
      <c r="F234" s="80" t="s">
        <v>440</v>
      </c>
      <c r="G234" s="67" t="s">
        <v>332</v>
      </c>
    </row>
    <row r="235" spans="2:7" x14ac:dyDescent="0.3">
      <c r="B235" s="84" t="s">
        <v>359</v>
      </c>
      <c r="C235" s="10">
        <v>56</v>
      </c>
      <c r="D235" s="10">
        <f>TRUNC(C235/$D$232)</f>
        <v>0</v>
      </c>
      <c r="E235" s="151">
        <f>C235-D235*$D$232</f>
        <v>56</v>
      </c>
      <c r="F235" s="68">
        <v>1</v>
      </c>
      <c r="G235" s="154">
        <v>1</v>
      </c>
    </row>
    <row r="236" spans="2:7" x14ac:dyDescent="0.3">
      <c r="B236" s="78" t="s">
        <v>233</v>
      </c>
      <c r="C236" s="13">
        <v>31</v>
      </c>
      <c r="D236" s="13">
        <f t="shared" ref="D236:D241" si="28">TRUNC(C236/$D$232)</f>
        <v>0</v>
      </c>
      <c r="E236" s="165">
        <f t="shared" ref="E236:E241" si="29">C236-D236*$D$232</f>
        <v>31</v>
      </c>
      <c r="F236" s="8">
        <v>0</v>
      </c>
      <c r="G236" s="155">
        <v>0</v>
      </c>
    </row>
    <row r="237" spans="2:7" x14ac:dyDescent="0.3">
      <c r="B237" s="84" t="s">
        <v>360</v>
      </c>
      <c r="C237" s="10">
        <v>19</v>
      </c>
      <c r="D237" s="10">
        <f t="shared" si="28"/>
        <v>0</v>
      </c>
      <c r="E237" s="172">
        <f t="shared" si="29"/>
        <v>19</v>
      </c>
      <c r="F237" s="68">
        <v>0</v>
      </c>
      <c r="G237" s="156">
        <v>0</v>
      </c>
    </row>
    <row r="238" spans="2:7" x14ac:dyDescent="0.3">
      <c r="B238" s="78" t="s">
        <v>237</v>
      </c>
      <c r="C238" s="13">
        <v>14</v>
      </c>
      <c r="D238" s="13">
        <f t="shared" si="28"/>
        <v>0</v>
      </c>
      <c r="E238" s="165">
        <f t="shared" si="29"/>
        <v>14</v>
      </c>
      <c r="F238" s="8">
        <v>0</v>
      </c>
      <c r="G238" s="155">
        <v>0</v>
      </c>
    </row>
    <row r="239" spans="2:7" x14ac:dyDescent="0.3">
      <c r="B239" s="84" t="s">
        <v>239</v>
      </c>
      <c r="C239" s="10">
        <v>8</v>
      </c>
      <c r="D239" s="10">
        <f t="shared" si="28"/>
        <v>0</v>
      </c>
      <c r="E239" s="172">
        <f t="shared" si="29"/>
        <v>8</v>
      </c>
      <c r="F239" s="68">
        <v>0</v>
      </c>
      <c r="G239" s="156">
        <v>0</v>
      </c>
    </row>
    <row r="240" spans="2:7" x14ac:dyDescent="0.3">
      <c r="B240" s="78" t="s">
        <v>241</v>
      </c>
      <c r="C240" s="13">
        <v>8</v>
      </c>
      <c r="D240" s="13">
        <f t="shared" si="28"/>
        <v>0</v>
      </c>
      <c r="E240" s="165">
        <f t="shared" si="29"/>
        <v>8</v>
      </c>
      <c r="F240" s="8">
        <v>0</v>
      </c>
      <c r="G240" s="155">
        <v>0</v>
      </c>
    </row>
    <row r="241" spans="2:7" x14ac:dyDescent="0.3">
      <c r="B241" s="98" t="s">
        <v>243</v>
      </c>
      <c r="C241" s="100">
        <v>3</v>
      </c>
      <c r="D241" s="100">
        <f t="shared" si="28"/>
        <v>0</v>
      </c>
      <c r="E241" s="173">
        <f t="shared" si="29"/>
        <v>3</v>
      </c>
      <c r="F241" s="101">
        <v>0</v>
      </c>
      <c r="G241" s="157">
        <v>0</v>
      </c>
    </row>
    <row r="242" spans="2:7" x14ac:dyDescent="0.3">
      <c r="C242" s="409">
        <f>SUM(D235:D241)</f>
        <v>0</v>
      </c>
      <c r="D242" s="409"/>
      <c r="G242" s="89">
        <f>SUM(G235:G241)</f>
        <v>1</v>
      </c>
    </row>
    <row r="243" spans="2:7" x14ac:dyDescent="0.3">
      <c r="C243" s="404">
        <f>D230-C242</f>
        <v>1</v>
      </c>
      <c r="D243" s="404"/>
    </row>
    <row r="246" spans="2:7" ht="18.600000000000001" thickBot="1" x14ac:dyDescent="0.35">
      <c r="B246" s="76" t="s">
        <v>11</v>
      </c>
      <c r="C246" s="77"/>
      <c r="D246" s="77"/>
      <c r="E246" s="77"/>
      <c r="F246" s="77"/>
      <c r="G246" s="77"/>
    </row>
    <row r="248" spans="2:7" x14ac:dyDescent="0.3">
      <c r="B248" s="408" t="s">
        <v>436</v>
      </c>
      <c r="C248" s="408"/>
      <c r="D248">
        <v>1</v>
      </c>
    </row>
    <row r="249" spans="2:7" x14ac:dyDescent="0.3">
      <c r="B249" s="408" t="s">
        <v>330</v>
      </c>
      <c r="C249" s="408"/>
      <c r="D249">
        <v>60</v>
      </c>
    </row>
    <row r="250" spans="2:7" x14ac:dyDescent="0.3">
      <c r="B250" s="405" t="s">
        <v>438</v>
      </c>
      <c r="C250" s="405"/>
      <c r="D250" s="63">
        <f>D249/D248</f>
        <v>60</v>
      </c>
    </row>
    <row r="252" spans="2:7" ht="43.2" x14ac:dyDescent="0.3">
      <c r="B252" s="31" t="s">
        <v>327</v>
      </c>
      <c r="C252" s="32" t="s">
        <v>331</v>
      </c>
      <c r="D252" s="32" t="s">
        <v>439</v>
      </c>
      <c r="E252" s="79" t="s">
        <v>379</v>
      </c>
      <c r="F252" s="79" t="s">
        <v>440</v>
      </c>
      <c r="G252" s="67" t="s">
        <v>332</v>
      </c>
    </row>
    <row r="253" spans="2:7" x14ac:dyDescent="0.3">
      <c r="B253" s="84" t="s">
        <v>246</v>
      </c>
      <c r="C253" s="82">
        <v>23</v>
      </c>
      <c r="D253" s="82">
        <f>TRUNC(C253/$D$250)</f>
        <v>0</v>
      </c>
      <c r="E253" s="82">
        <f>C253-D253*$D$250</f>
        <v>23</v>
      </c>
      <c r="F253" s="82">
        <v>1</v>
      </c>
      <c r="G253" s="89">
        <v>1</v>
      </c>
    </row>
    <row r="254" spans="2:7" x14ac:dyDescent="0.3">
      <c r="B254" s="78" t="s">
        <v>361</v>
      </c>
      <c r="C254" s="16">
        <v>13</v>
      </c>
      <c r="D254" s="16">
        <f t="shared" ref="D254:D258" si="30">TRUNC(C254/$D$250)</f>
        <v>0</v>
      </c>
      <c r="E254" s="16">
        <f t="shared" ref="E254:E258" si="31">C254-D254*$D$250</f>
        <v>13</v>
      </c>
      <c r="F254" s="16">
        <v>0</v>
      </c>
      <c r="G254" s="88">
        <v>0</v>
      </c>
    </row>
    <row r="255" spans="2:7" x14ac:dyDescent="0.3">
      <c r="B255" s="84" t="s">
        <v>362</v>
      </c>
      <c r="C255" s="82">
        <v>13</v>
      </c>
      <c r="D255" s="82">
        <f t="shared" si="30"/>
        <v>0</v>
      </c>
      <c r="E255" s="82">
        <f t="shared" si="31"/>
        <v>13</v>
      </c>
      <c r="F255" s="82">
        <v>0</v>
      </c>
      <c r="G255" s="89">
        <v>0</v>
      </c>
    </row>
    <row r="256" spans="2:7" x14ac:dyDescent="0.3">
      <c r="B256" s="78" t="s">
        <v>363</v>
      </c>
      <c r="C256" s="16">
        <v>6</v>
      </c>
      <c r="D256" s="16">
        <f t="shared" si="30"/>
        <v>0</v>
      </c>
      <c r="E256" s="16">
        <f t="shared" si="31"/>
        <v>6</v>
      </c>
      <c r="F256" s="16">
        <v>0</v>
      </c>
      <c r="G256" s="88">
        <v>0</v>
      </c>
    </row>
    <row r="257" spans="2:7" x14ac:dyDescent="0.3">
      <c r="B257" s="84" t="s">
        <v>247</v>
      </c>
      <c r="C257" s="82">
        <v>3</v>
      </c>
      <c r="D257" s="82">
        <f t="shared" si="30"/>
        <v>0</v>
      </c>
      <c r="E257" s="82">
        <f t="shared" si="31"/>
        <v>3</v>
      </c>
      <c r="F257" s="82">
        <v>0</v>
      </c>
      <c r="G257" s="89">
        <v>0</v>
      </c>
    </row>
    <row r="258" spans="2:7" x14ac:dyDescent="0.3">
      <c r="B258" s="107" t="s">
        <v>248</v>
      </c>
      <c r="C258" s="104">
        <v>2</v>
      </c>
      <c r="D258" s="104">
        <f t="shared" si="30"/>
        <v>0</v>
      </c>
      <c r="E258" s="104">
        <f t="shared" si="31"/>
        <v>2</v>
      </c>
      <c r="F258" s="104">
        <v>0</v>
      </c>
      <c r="G258" s="106">
        <v>0</v>
      </c>
    </row>
    <row r="259" spans="2:7" x14ac:dyDescent="0.3">
      <c r="C259" s="409">
        <f>SUM(D253:D258)</f>
        <v>0</v>
      </c>
      <c r="D259" s="409"/>
      <c r="G259" s="89">
        <f>SUM(G253:G258)</f>
        <v>1</v>
      </c>
    </row>
    <row r="260" spans="2:7" x14ac:dyDescent="0.3">
      <c r="C260" s="404">
        <f>D248-C259</f>
        <v>1</v>
      </c>
      <c r="D260" s="404"/>
    </row>
    <row r="262" spans="2:7" ht="18.600000000000001" thickBot="1" x14ac:dyDescent="0.35">
      <c r="B262" s="76" t="s">
        <v>15</v>
      </c>
      <c r="C262" s="77"/>
      <c r="D262" s="77"/>
      <c r="E262" s="77"/>
      <c r="F262" s="77"/>
      <c r="G262" s="77"/>
    </row>
    <row r="264" spans="2:7" x14ac:dyDescent="0.3">
      <c r="B264" s="408" t="s">
        <v>436</v>
      </c>
      <c r="C264" s="408"/>
      <c r="D264">
        <v>1</v>
      </c>
    </row>
    <row r="265" spans="2:7" x14ac:dyDescent="0.3">
      <c r="B265" s="408" t="s">
        <v>330</v>
      </c>
      <c r="C265" s="408"/>
      <c r="D265">
        <v>71</v>
      </c>
    </row>
    <row r="266" spans="2:7" x14ac:dyDescent="0.3">
      <c r="B266" s="405" t="s">
        <v>438</v>
      </c>
      <c r="C266" s="405"/>
      <c r="D266" s="63">
        <f>D265/D264</f>
        <v>71</v>
      </c>
    </row>
    <row r="268" spans="2:7" ht="43.2" x14ac:dyDescent="0.3">
      <c r="B268" s="31" t="s">
        <v>327</v>
      </c>
      <c r="C268" s="32" t="s">
        <v>331</v>
      </c>
      <c r="D268" s="32" t="s">
        <v>439</v>
      </c>
      <c r="E268" s="79" t="s">
        <v>379</v>
      </c>
      <c r="F268" s="79" t="s">
        <v>440</v>
      </c>
      <c r="G268" s="67" t="s">
        <v>332</v>
      </c>
    </row>
    <row r="269" spans="2:7" x14ac:dyDescent="0.3">
      <c r="B269" s="84" t="s">
        <v>364</v>
      </c>
      <c r="C269" s="82">
        <v>38</v>
      </c>
      <c r="D269" s="82">
        <f>TRUNC(C269/$D$266)</f>
        <v>0</v>
      </c>
      <c r="E269" s="86">
        <f>C269-D269*$D$266</f>
        <v>38</v>
      </c>
      <c r="F269" s="82">
        <v>1</v>
      </c>
      <c r="G269" s="89">
        <v>1</v>
      </c>
    </row>
    <row r="270" spans="2:7" x14ac:dyDescent="0.3">
      <c r="B270" s="78" t="s">
        <v>259</v>
      </c>
      <c r="C270" s="16">
        <v>31</v>
      </c>
      <c r="D270" s="16">
        <f t="shared" ref="D270:D271" si="32">TRUNC(C270/$D$266)</f>
        <v>0</v>
      </c>
      <c r="E270" s="16">
        <f t="shared" ref="E270:E271" si="33">C270-D270*$D$266</f>
        <v>31</v>
      </c>
      <c r="F270" s="16">
        <v>0</v>
      </c>
      <c r="G270" s="88">
        <v>0</v>
      </c>
    </row>
    <row r="271" spans="2:7" x14ac:dyDescent="0.3">
      <c r="B271" s="98" t="s">
        <v>44</v>
      </c>
      <c r="C271" s="90">
        <v>2</v>
      </c>
      <c r="D271" s="90">
        <f t="shared" si="32"/>
        <v>0</v>
      </c>
      <c r="E271" s="90">
        <f t="shared" si="33"/>
        <v>2</v>
      </c>
      <c r="F271" s="90">
        <v>0</v>
      </c>
      <c r="G271" s="91">
        <v>0</v>
      </c>
    </row>
    <row r="272" spans="2:7" x14ac:dyDescent="0.3">
      <c r="C272" s="409">
        <f>SUM(D269:D271)</f>
        <v>0</v>
      </c>
      <c r="D272" s="409"/>
      <c r="G272" s="89">
        <f>SUM(G269:G271)</f>
        <v>1</v>
      </c>
    </row>
    <row r="273" spans="2:8" x14ac:dyDescent="0.3">
      <c r="C273" s="404">
        <f>D264-C272</f>
        <v>1</v>
      </c>
      <c r="D273" s="404"/>
    </row>
    <row r="276" spans="2:8" ht="18.600000000000001" thickBot="1" x14ac:dyDescent="0.35">
      <c r="B276" s="76" t="s">
        <v>365</v>
      </c>
      <c r="C276" s="77"/>
      <c r="D276" s="77"/>
      <c r="E276" s="77"/>
      <c r="F276" s="77"/>
      <c r="G276" s="77"/>
    </row>
    <row r="278" spans="2:8" x14ac:dyDescent="0.3">
      <c r="B278" s="408" t="s">
        <v>436</v>
      </c>
      <c r="C278" s="408"/>
      <c r="D278" s="62">
        <v>5</v>
      </c>
    </row>
    <row r="279" spans="2:8" x14ac:dyDescent="0.3">
      <c r="B279" s="408" t="s">
        <v>330</v>
      </c>
      <c r="C279" s="408"/>
      <c r="D279">
        <v>150</v>
      </c>
    </row>
    <row r="280" spans="2:8" x14ac:dyDescent="0.3">
      <c r="B280" s="405" t="s">
        <v>438</v>
      </c>
      <c r="C280" s="405"/>
      <c r="D280" s="63">
        <f>D279/D278</f>
        <v>30</v>
      </c>
    </row>
    <row r="282" spans="2:8" ht="43.2" x14ac:dyDescent="0.3">
      <c r="B282" s="31" t="s">
        <v>327</v>
      </c>
      <c r="C282" s="32" t="s">
        <v>331</v>
      </c>
      <c r="D282" s="32" t="s">
        <v>439</v>
      </c>
      <c r="E282" s="79" t="s">
        <v>379</v>
      </c>
      <c r="F282" s="79" t="s">
        <v>440</v>
      </c>
      <c r="G282" s="67" t="s">
        <v>332</v>
      </c>
    </row>
    <row r="283" spans="2:8" x14ac:dyDescent="0.3">
      <c r="B283" s="84" t="s">
        <v>366</v>
      </c>
      <c r="C283" s="82">
        <v>40</v>
      </c>
      <c r="D283" s="82">
        <f>TRUNC(C283/$D$280)</f>
        <v>1</v>
      </c>
      <c r="E283" s="95">
        <f>C283-D283*$D$280</f>
        <v>10</v>
      </c>
      <c r="F283" s="82">
        <f>C283-(E283*$C$280)</f>
        <v>40</v>
      </c>
      <c r="G283" s="89">
        <v>1</v>
      </c>
      <c r="H283" s="12"/>
    </row>
    <row r="284" spans="2:8" x14ac:dyDescent="0.3">
      <c r="B284" s="78" t="s">
        <v>367</v>
      </c>
      <c r="C284" s="16">
        <v>35</v>
      </c>
      <c r="D284" s="16">
        <f t="shared" ref="D284:D294" si="34">TRUNC(C284/$D$280)</f>
        <v>1</v>
      </c>
      <c r="E284" s="93">
        <f t="shared" ref="E284:E294" si="35">C284-D284*$D$280</f>
        <v>5</v>
      </c>
      <c r="F284" s="16">
        <f t="shared" ref="F284:F294" si="36">C284-(E284*$C$280)</f>
        <v>35</v>
      </c>
      <c r="G284" s="88">
        <v>1</v>
      </c>
      <c r="H284" s="12"/>
    </row>
    <row r="285" spans="2:8" x14ac:dyDescent="0.3">
      <c r="B285" s="84" t="s">
        <v>264</v>
      </c>
      <c r="C285" s="82">
        <v>15</v>
      </c>
      <c r="D285" s="82">
        <f t="shared" si="34"/>
        <v>0</v>
      </c>
      <c r="E285" s="86">
        <f t="shared" si="35"/>
        <v>15</v>
      </c>
      <c r="F285" s="82">
        <f t="shared" si="36"/>
        <v>15</v>
      </c>
      <c r="G285" s="89">
        <v>1</v>
      </c>
      <c r="H285" s="12"/>
    </row>
    <row r="286" spans="2:8" x14ac:dyDescent="0.3">
      <c r="B286" s="78" t="s">
        <v>265</v>
      </c>
      <c r="C286" s="16">
        <v>13</v>
      </c>
      <c r="D286" s="16">
        <f t="shared" si="34"/>
        <v>0</v>
      </c>
      <c r="E286" s="87">
        <f t="shared" si="35"/>
        <v>13</v>
      </c>
      <c r="F286" s="16">
        <f t="shared" si="36"/>
        <v>13</v>
      </c>
      <c r="G286" s="88">
        <v>1</v>
      </c>
      <c r="H286" s="12"/>
    </row>
    <row r="287" spans="2:8" x14ac:dyDescent="0.3">
      <c r="B287" s="84" t="s">
        <v>266</v>
      </c>
      <c r="C287" s="82">
        <v>12</v>
      </c>
      <c r="D287" s="82">
        <f t="shared" si="34"/>
        <v>0</v>
      </c>
      <c r="E287" s="175">
        <f t="shared" si="35"/>
        <v>12</v>
      </c>
      <c r="F287" s="82">
        <f t="shared" si="36"/>
        <v>12</v>
      </c>
      <c r="G287" s="89" t="s">
        <v>452</v>
      </c>
    </row>
    <row r="288" spans="2:8" x14ac:dyDescent="0.3">
      <c r="B288" s="78" t="s">
        <v>267</v>
      </c>
      <c r="C288" s="16">
        <v>12</v>
      </c>
      <c r="D288" s="16">
        <f t="shared" si="34"/>
        <v>0</v>
      </c>
      <c r="E288" s="176">
        <f t="shared" si="35"/>
        <v>12</v>
      </c>
      <c r="F288" s="16">
        <f t="shared" si="36"/>
        <v>12</v>
      </c>
      <c r="G288" s="88" t="s">
        <v>453</v>
      </c>
    </row>
    <row r="289" spans="2:7" x14ac:dyDescent="0.3">
      <c r="B289" s="84" t="s">
        <v>268</v>
      </c>
      <c r="C289" s="82">
        <v>5</v>
      </c>
      <c r="D289" s="82">
        <f t="shared" si="34"/>
        <v>0</v>
      </c>
      <c r="E289" s="95">
        <f t="shared" si="35"/>
        <v>5</v>
      </c>
      <c r="F289" s="82">
        <f t="shared" si="36"/>
        <v>5</v>
      </c>
      <c r="G289" s="89">
        <v>0</v>
      </c>
    </row>
    <row r="290" spans="2:7" x14ac:dyDescent="0.3">
      <c r="B290" s="78" t="s">
        <v>269</v>
      </c>
      <c r="C290" s="16">
        <v>4</v>
      </c>
      <c r="D290" s="16">
        <f t="shared" si="34"/>
        <v>0</v>
      </c>
      <c r="E290" s="93">
        <f t="shared" si="35"/>
        <v>4</v>
      </c>
      <c r="F290" s="16">
        <f t="shared" si="36"/>
        <v>4</v>
      </c>
      <c r="G290" s="88">
        <v>0</v>
      </c>
    </row>
    <row r="291" spans="2:7" x14ac:dyDescent="0.3">
      <c r="B291" s="84" t="s">
        <v>270</v>
      </c>
      <c r="C291" s="82">
        <v>3</v>
      </c>
      <c r="D291" s="82">
        <f t="shared" si="34"/>
        <v>0</v>
      </c>
      <c r="E291" s="95">
        <f t="shared" si="35"/>
        <v>3</v>
      </c>
      <c r="F291" s="82">
        <f t="shared" si="36"/>
        <v>3</v>
      </c>
      <c r="G291" s="89">
        <v>0</v>
      </c>
    </row>
    <row r="292" spans="2:7" x14ac:dyDescent="0.3">
      <c r="B292" s="78" t="s">
        <v>271</v>
      </c>
      <c r="C292" s="16">
        <v>2</v>
      </c>
      <c r="D292" s="16">
        <f t="shared" si="34"/>
        <v>0</v>
      </c>
      <c r="E292" s="93">
        <f t="shared" si="35"/>
        <v>2</v>
      </c>
      <c r="F292" s="16">
        <f t="shared" si="36"/>
        <v>2</v>
      </c>
      <c r="G292" s="88">
        <v>0</v>
      </c>
    </row>
    <row r="293" spans="2:7" x14ac:dyDescent="0.3">
      <c r="B293" s="84" t="s">
        <v>272</v>
      </c>
      <c r="C293" s="82">
        <v>1</v>
      </c>
      <c r="D293" s="82">
        <f t="shared" si="34"/>
        <v>0</v>
      </c>
      <c r="E293" s="95">
        <f t="shared" si="35"/>
        <v>1</v>
      </c>
      <c r="F293" s="82">
        <f t="shared" si="36"/>
        <v>1</v>
      </c>
      <c r="G293" s="89">
        <v>0</v>
      </c>
    </row>
    <row r="294" spans="2:7" x14ac:dyDescent="0.3">
      <c r="B294" s="107" t="s">
        <v>44</v>
      </c>
      <c r="C294" s="104">
        <v>8</v>
      </c>
      <c r="D294" s="104">
        <f t="shared" si="34"/>
        <v>0</v>
      </c>
      <c r="E294" s="174">
        <f t="shared" si="35"/>
        <v>8</v>
      </c>
      <c r="F294" s="104">
        <f t="shared" si="36"/>
        <v>8</v>
      </c>
      <c r="G294" s="106">
        <v>0</v>
      </c>
    </row>
    <row r="295" spans="2:7" x14ac:dyDescent="0.3">
      <c r="C295" s="409">
        <f>SUM(D283:D294)</f>
        <v>2</v>
      </c>
      <c r="D295" s="409"/>
      <c r="G295" s="89">
        <v>5</v>
      </c>
    </row>
    <row r="296" spans="2:7" x14ac:dyDescent="0.3">
      <c r="C296" s="404">
        <f>D278-C295</f>
        <v>3</v>
      </c>
      <c r="D296" s="404"/>
    </row>
    <row r="299" spans="2:7" ht="18.600000000000001" thickBot="1" x14ac:dyDescent="0.35">
      <c r="B299" s="76" t="s">
        <v>13</v>
      </c>
      <c r="C299" s="77"/>
      <c r="D299" s="77"/>
      <c r="E299" s="77"/>
      <c r="F299" s="77"/>
      <c r="G299" s="77"/>
    </row>
    <row r="301" spans="2:7" x14ac:dyDescent="0.3">
      <c r="B301" s="408" t="s">
        <v>436</v>
      </c>
      <c r="C301" s="408"/>
      <c r="D301" s="62">
        <v>3</v>
      </c>
    </row>
    <row r="302" spans="2:7" x14ac:dyDescent="0.3">
      <c r="B302" s="408" t="s">
        <v>330</v>
      </c>
      <c r="C302" s="408"/>
      <c r="D302">
        <v>230</v>
      </c>
    </row>
    <row r="303" spans="2:7" x14ac:dyDescent="0.3">
      <c r="B303" s="405" t="s">
        <v>438</v>
      </c>
      <c r="C303" s="405"/>
      <c r="D303" s="138">
        <f>D302/D301</f>
        <v>76.666666666666671</v>
      </c>
    </row>
    <row r="305" spans="2:7" ht="43.2" x14ac:dyDescent="0.3">
      <c r="B305" s="31" t="s">
        <v>327</v>
      </c>
      <c r="C305" s="32" t="s">
        <v>331</v>
      </c>
      <c r="D305" s="32" t="s">
        <v>439</v>
      </c>
      <c r="E305" s="79" t="s">
        <v>379</v>
      </c>
      <c r="F305" s="79" t="s">
        <v>440</v>
      </c>
      <c r="G305" s="67" t="s">
        <v>332</v>
      </c>
    </row>
    <row r="306" spans="2:7" x14ac:dyDescent="0.3">
      <c r="B306" s="84" t="s">
        <v>287</v>
      </c>
      <c r="C306" s="82">
        <v>89</v>
      </c>
      <c r="D306" s="82">
        <f>TRUNC(C306/$D$303)</f>
        <v>1</v>
      </c>
      <c r="E306" s="177">
        <f>C306-D306*$D$303</f>
        <v>12.333333333333329</v>
      </c>
      <c r="F306" s="82">
        <v>0</v>
      </c>
      <c r="G306" s="89">
        <v>1</v>
      </c>
    </row>
    <row r="307" spans="2:7" x14ac:dyDescent="0.3">
      <c r="B307" s="78" t="s">
        <v>368</v>
      </c>
      <c r="C307" s="16">
        <v>86</v>
      </c>
      <c r="D307" s="16">
        <f t="shared" ref="D307:D312" si="37">TRUNC(C307/$D$303)</f>
        <v>1</v>
      </c>
      <c r="E307" s="178">
        <f t="shared" ref="E307:E312" si="38">C307-D307*$D$303</f>
        <v>9.3333333333333286</v>
      </c>
      <c r="F307" s="16">
        <v>0</v>
      </c>
      <c r="G307" s="88">
        <v>1</v>
      </c>
    </row>
    <row r="308" spans="2:7" x14ac:dyDescent="0.3">
      <c r="B308" s="84" t="s">
        <v>369</v>
      </c>
      <c r="C308" s="82">
        <v>19</v>
      </c>
      <c r="D308" s="82">
        <f t="shared" si="37"/>
        <v>0</v>
      </c>
      <c r="E308" s="86">
        <f t="shared" si="38"/>
        <v>19</v>
      </c>
      <c r="F308" s="82">
        <v>1</v>
      </c>
      <c r="G308" s="89">
        <v>1</v>
      </c>
    </row>
    <row r="309" spans="2:7" x14ac:dyDescent="0.3">
      <c r="B309" s="78" t="s">
        <v>288</v>
      </c>
      <c r="C309" s="16">
        <v>18</v>
      </c>
      <c r="D309" s="16">
        <f t="shared" si="37"/>
        <v>0</v>
      </c>
      <c r="E309" s="93">
        <f t="shared" si="38"/>
        <v>18</v>
      </c>
      <c r="F309" s="16">
        <v>0</v>
      </c>
      <c r="G309" s="88">
        <v>0</v>
      </c>
    </row>
    <row r="310" spans="2:7" x14ac:dyDescent="0.3">
      <c r="B310" s="84" t="s">
        <v>370</v>
      </c>
      <c r="C310" s="82">
        <v>15</v>
      </c>
      <c r="D310" s="82">
        <f t="shared" si="37"/>
        <v>0</v>
      </c>
      <c r="E310" s="95">
        <f t="shared" si="38"/>
        <v>15</v>
      </c>
      <c r="F310" s="82">
        <v>0</v>
      </c>
      <c r="G310" s="89">
        <v>0</v>
      </c>
    </row>
    <row r="311" spans="2:7" x14ac:dyDescent="0.3">
      <c r="B311" s="78" t="s">
        <v>371</v>
      </c>
      <c r="C311" s="16">
        <v>2</v>
      </c>
      <c r="D311" s="16">
        <f t="shared" si="37"/>
        <v>0</v>
      </c>
      <c r="E311" s="93">
        <f t="shared" si="38"/>
        <v>2</v>
      </c>
      <c r="F311" s="16">
        <v>0</v>
      </c>
      <c r="G311" s="88">
        <v>0</v>
      </c>
    </row>
    <row r="312" spans="2:7" x14ac:dyDescent="0.3">
      <c r="B312" s="98" t="s">
        <v>289</v>
      </c>
      <c r="C312" s="90">
        <v>1</v>
      </c>
      <c r="D312" s="90">
        <f t="shared" si="37"/>
        <v>0</v>
      </c>
      <c r="E312" s="134">
        <f t="shared" si="38"/>
        <v>1</v>
      </c>
      <c r="F312" s="90">
        <v>0</v>
      </c>
      <c r="G312" s="91">
        <v>0</v>
      </c>
    </row>
    <row r="313" spans="2:7" x14ac:dyDescent="0.3">
      <c r="C313" s="409">
        <f>SUM(D306:D312)</f>
        <v>2</v>
      </c>
      <c r="D313" s="409"/>
      <c r="G313" s="89">
        <v>5</v>
      </c>
    </row>
    <row r="314" spans="2:7" x14ac:dyDescent="0.3">
      <c r="C314" s="404">
        <f>D301-C313</f>
        <v>1</v>
      </c>
      <c r="D314" s="404"/>
    </row>
    <row r="317" spans="2:7" ht="18.600000000000001" thickBot="1" x14ac:dyDescent="0.35">
      <c r="B317" s="76" t="s">
        <v>16</v>
      </c>
      <c r="C317" s="77"/>
      <c r="D317" s="77"/>
      <c r="E317" s="77"/>
      <c r="F317" s="77"/>
      <c r="G317" s="77"/>
    </row>
    <row r="319" spans="2:7" x14ac:dyDescent="0.3">
      <c r="B319" s="408" t="s">
        <v>436</v>
      </c>
      <c r="C319" s="408"/>
      <c r="D319" s="62">
        <v>2</v>
      </c>
    </row>
    <row r="320" spans="2:7" x14ac:dyDescent="0.3">
      <c r="B320" s="408" t="s">
        <v>330</v>
      </c>
      <c r="C320" s="408"/>
      <c r="D320">
        <v>150</v>
      </c>
    </row>
    <row r="321" spans="2:7" x14ac:dyDescent="0.3">
      <c r="B321" s="405" t="s">
        <v>438</v>
      </c>
      <c r="C321" s="405"/>
      <c r="D321" s="63">
        <f>D320/D319</f>
        <v>75</v>
      </c>
    </row>
    <row r="323" spans="2:7" ht="43.2" x14ac:dyDescent="0.3">
      <c r="B323" s="31" t="s">
        <v>327</v>
      </c>
      <c r="C323" s="32" t="s">
        <v>331</v>
      </c>
      <c r="D323" s="32" t="s">
        <v>439</v>
      </c>
      <c r="E323" s="79" t="s">
        <v>379</v>
      </c>
      <c r="F323" s="79" t="s">
        <v>440</v>
      </c>
      <c r="G323" s="67" t="s">
        <v>332</v>
      </c>
    </row>
    <row r="324" spans="2:7" x14ac:dyDescent="0.3">
      <c r="B324" s="84" t="s">
        <v>372</v>
      </c>
      <c r="C324" s="82">
        <v>49</v>
      </c>
      <c r="D324" s="82">
        <f>TRUNC(C324/$D$321)</f>
        <v>0</v>
      </c>
      <c r="E324" s="180">
        <f>C324-D324*$D$321</f>
        <v>49</v>
      </c>
      <c r="F324" s="82">
        <v>1</v>
      </c>
      <c r="G324" s="89">
        <v>1</v>
      </c>
    </row>
    <row r="325" spans="2:7" x14ac:dyDescent="0.3">
      <c r="B325" s="78" t="s">
        <v>297</v>
      </c>
      <c r="C325" s="16">
        <v>21</v>
      </c>
      <c r="D325" s="16">
        <f t="shared" ref="D325:D329" si="39">TRUNC(C325/$D$321)</f>
        <v>0</v>
      </c>
      <c r="E325" s="181">
        <f t="shared" ref="E325:E329" si="40">C325-D325*$D$321</f>
        <v>21</v>
      </c>
      <c r="F325" s="16">
        <v>1</v>
      </c>
      <c r="G325" s="88">
        <v>1</v>
      </c>
    </row>
    <row r="326" spans="2:7" x14ac:dyDescent="0.3">
      <c r="B326" s="84" t="s">
        <v>298</v>
      </c>
      <c r="C326" s="82">
        <v>19</v>
      </c>
      <c r="D326" s="82">
        <f t="shared" si="39"/>
        <v>0</v>
      </c>
      <c r="E326" s="95">
        <f t="shared" si="40"/>
        <v>19</v>
      </c>
      <c r="F326" s="82">
        <v>0</v>
      </c>
      <c r="G326" s="89">
        <v>0</v>
      </c>
    </row>
    <row r="327" spans="2:7" x14ac:dyDescent="0.3">
      <c r="B327" s="78" t="s">
        <v>373</v>
      </c>
      <c r="C327" s="16">
        <v>15</v>
      </c>
      <c r="D327" s="16">
        <f t="shared" si="39"/>
        <v>0</v>
      </c>
      <c r="E327" s="93">
        <f t="shared" si="40"/>
        <v>15</v>
      </c>
      <c r="F327" s="16">
        <v>0</v>
      </c>
      <c r="G327" s="88">
        <v>0</v>
      </c>
    </row>
    <row r="328" spans="2:7" x14ac:dyDescent="0.3">
      <c r="B328" s="84" t="s">
        <v>299</v>
      </c>
      <c r="C328" s="82">
        <v>14</v>
      </c>
      <c r="D328" s="82">
        <f t="shared" si="39"/>
        <v>0</v>
      </c>
      <c r="E328" s="95">
        <f t="shared" si="40"/>
        <v>14</v>
      </c>
      <c r="F328" s="82">
        <v>0</v>
      </c>
      <c r="G328" s="89">
        <v>0</v>
      </c>
    </row>
    <row r="329" spans="2:7" x14ac:dyDescent="0.3">
      <c r="B329" s="78" t="s">
        <v>374</v>
      </c>
      <c r="C329" s="16">
        <v>11</v>
      </c>
      <c r="D329" s="16">
        <f t="shared" si="39"/>
        <v>0</v>
      </c>
      <c r="E329" s="93">
        <f t="shared" si="40"/>
        <v>11</v>
      </c>
      <c r="F329" s="16">
        <v>0</v>
      </c>
      <c r="G329" s="88">
        <v>0</v>
      </c>
    </row>
    <row r="330" spans="2:7" x14ac:dyDescent="0.3">
      <c r="B330" s="84" t="s">
        <v>300</v>
      </c>
      <c r="C330" s="82">
        <v>11</v>
      </c>
      <c r="D330" s="82">
        <f>TRUNC(C330/$D$321)</f>
        <v>0</v>
      </c>
      <c r="E330" s="95">
        <f>C330-D330*$D$321</f>
        <v>11</v>
      </c>
      <c r="F330" s="82">
        <v>0</v>
      </c>
      <c r="G330" s="89">
        <v>0</v>
      </c>
    </row>
    <row r="331" spans="2:7" x14ac:dyDescent="0.3">
      <c r="B331" s="107" t="s">
        <v>375</v>
      </c>
      <c r="C331" s="104">
        <v>10</v>
      </c>
      <c r="D331" s="104">
        <f>TRUNC(C331/$D$321)</f>
        <v>0</v>
      </c>
      <c r="E331" s="174">
        <f>C331-D331*$D$321</f>
        <v>10</v>
      </c>
      <c r="F331" s="104">
        <v>0</v>
      </c>
      <c r="G331" s="106">
        <v>0</v>
      </c>
    </row>
    <row r="332" spans="2:7" x14ac:dyDescent="0.3">
      <c r="C332" s="409">
        <f>SUM(D324:D331)</f>
        <v>0</v>
      </c>
      <c r="D332" s="409"/>
      <c r="G332" s="89">
        <v>2</v>
      </c>
    </row>
    <row r="333" spans="2:7" x14ac:dyDescent="0.3">
      <c r="C333" s="404">
        <f>D319-C332</f>
        <v>2</v>
      </c>
      <c r="D333" s="404"/>
    </row>
    <row r="336" spans="2:7" ht="18.600000000000001" thickBot="1" x14ac:dyDescent="0.35">
      <c r="B336" s="76" t="s">
        <v>21</v>
      </c>
      <c r="C336" s="77"/>
      <c r="D336" s="77"/>
      <c r="E336" s="77"/>
      <c r="F336" s="77"/>
      <c r="G336" s="77"/>
    </row>
    <row r="338" spans="2:7" x14ac:dyDescent="0.3">
      <c r="B338" s="408" t="s">
        <v>436</v>
      </c>
      <c r="C338" s="408"/>
      <c r="D338" s="62">
        <f>'Infos zone€'!G16</f>
        <v>1</v>
      </c>
    </row>
    <row r="339" spans="2:7" x14ac:dyDescent="0.3">
      <c r="B339" s="408" t="s">
        <v>330</v>
      </c>
      <c r="C339" s="408"/>
      <c r="D339">
        <v>90</v>
      </c>
    </row>
    <row r="340" spans="2:7" x14ac:dyDescent="0.3">
      <c r="B340" s="405" t="s">
        <v>438</v>
      </c>
      <c r="C340" s="405"/>
      <c r="D340" s="63">
        <f>D339/D338</f>
        <v>90</v>
      </c>
    </row>
    <row r="342" spans="2:7" ht="43.2" x14ac:dyDescent="0.3">
      <c r="B342" s="31" t="s">
        <v>327</v>
      </c>
      <c r="C342" s="32" t="s">
        <v>331</v>
      </c>
      <c r="D342" s="32" t="s">
        <v>439</v>
      </c>
      <c r="E342" s="79" t="s">
        <v>379</v>
      </c>
      <c r="F342" s="79" t="s">
        <v>440</v>
      </c>
      <c r="G342" s="67" t="s">
        <v>332</v>
      </c>
    </row>
    <row r="343" spans="2:7" x14ac:dyDescent="0.3">
      <c r="B343" s="84" t="s">
        <v>376</v>
      </c>
      <c r="C343" s="82">
        <v>36</v>
      </c>
      <c r="D343" s="82">
        <f>TRUNC(C343/$D$340)</f>
        <v>0</v>
      </c>
      <c r="E343" s="180">
        <f>C343-D343*$D$340</f>
        <v>36</v>
      </c>
      <c r="F343" s="82">
        <v>1</v>
      </c>
      <c r="G343" s="89">
        <v>1</v>
      </c>
    </row>
    <row r="344" spans="2:7" x14ac:dyDescent="0.3">
      <c r="B344" s="78" t="s">
        <v>311</v>
      </c>
      <c r="C344" s="16">
        <v>21</v>
      </c>
      <c r="D344" s="16">
        <f t="shared" ref="D344:D350" si="41">TRUNC(C344/$D$340)</f>
        <v>0</v>
      </c>
      <c r="E344" s="179">
        <f t="shared" ref="E344:E350" si="42">C344-D344*$D$340</f>
        <v>21</v>
      </c>
      <c r="F344" s="16">
        <v>0</v>
      </c>
      <c r="G344" s="88">
        <v>0</v>
      </c>
    </row>
    <row r="345" spans="2:7" x14ac:dyDescent="0.3">
      <c r="B345" s="84" t="s">
        <v>377</v>
      </c>
      <c r="C345" s="82">
        <v>10</v>
      </c>
      <c r="D345" s="82">
        <f t="shared" si="41"/>
        <v>0</v>
      </c>
      <c r="E345" s="95">
        <f t="shared" si="42"/>
        <v>10</v>
      </c>
      <c r="F345" s="82">
        <v>0</v>
      </c>
      <c r="G345" s="89">
        <v>0</v>
      </c>
    </row>
    <row r="346" spans="2:7" x14ac:dyDescent="0.3">
      <c r="B346" s="78" t="s">
        <v>378</v>
      </c>
      <c r="C346" s="16">
        <v>6</v>
      </c>
      <c r="D346" s="16">
        <f t="shared" si="41"/>
        <v>0</v>
      </c>
      <c r="E346" s="93">
        <f t="shared" si="42"/>
        <v>6</v>
      </c>
      <c r="F346" s="16">
        <v>0</v>
      </c>
      <c r="G346" s="88">
        <v>0</v>
      </c>
    </row>
    <row r="347" spans="2:7" x14ac:dyDescent="0.3">
      <c r="B347" s="84" t="s">
        <v>312</v>
      </c>
      <c r="C347" s="82">
        <v>6</v>
      </c>
      <c r="D347" s="82">
        <f t="shared" si="41"/>
        <v>0</v>
      </c>
      <c r="E347" s="95">
        <f t="shared" si="42"/>
        <v>6</v>
      </c>
      <c r="F347" s="82">
        <v>0</v>
      </c>
      <c r="G347" s="89">
        <v>0</v>
      </c>
    </row>
    <row r="348" spans="2:7" x14ac:dyDescent="0.3">
      <c r="B348" s="78" t="s">
        <v>313</v>
      </c>
      <c r="C348" s="16">
        <v>5</v>
      </c>
      <c r="D348" s="16">
        <f t="shared" si="41"/>
        <v>0</v>
      </c>
      <c r="E348" s="93">
        <f t="shared" si="42"/>
        <v>5</v>
      </c>
      <c r="F348" s="16">
        <v>0</v>
      </c>
      <c r="G348" s="88">
        <v>0</v>
      </c>
    </row>
    <row r="349" spans="2:7" x14ac:dyDescent="0.3">
      <c r="B349" s="84" t="s">
        <v>322</v>
      </c>
      <c r="C349" s="82">
        <v>4</v>
      </c>
      <c r="D349" s="82">
        <f t="shared" si="41"/>
        <v>0</v>
      </c>
      <c r="E349" s="95">
        <f t="shared" si="42"/>
        <v>4</v>
      </c>
      <c r="F349" s="82">
        <v>0</v>
      </c>
      <c r="G349" s="89">
        <v>0</v>
      </c>
    </row>
    <row r="350" spans="2:7" x14ac:dyDescent="0.3">
      <c r="B350" s="107" t="s">
        <v>314</v>
      </c>
      <c r="C350" s="104">
        <v>2</v>
      </c>
      <c r="D350" s="104">
        <f t="shared" si="41"/>
        <v>0</v>
      </c>
      <c r="E350" s="174">
        <f t="shared" si="42"/>
        <v>2</v>
      </c>
      <c r="F350" s="104">
        <v>0</v>
      </c>
      <c r="G350" s="106">
        <v>0</v>
      </c>
    </row>
    <row r="351" spans="2:7" x14ac:dyDescent="0.3">
      <c r="C351" s="409">
        <f>SUM(D343:D350)</f>
        <v>0</v>
      </c>
      <c r="D351" s="409"/>
      <c r="G351" s="89">
        <f>SUM(G343:G350)</f>
        <v>1</v>
      </c>
    </row>
    <row r="352" spans="2:7" x14ac:dyDescent="0.3">
      <c r="C352" s="404">
        <f>D338-C351</f>
        <v>1</v>
      </c>
      <c r="D352" s="404"/>
    </row>
  </sheetData>
  <mergeCells count="96">
    <mergeCell ref="C31:D31"/>
    <mergeCell ref="A1:G1"/>
    <mergeCell ref="B5:C5"/>
    <mergeCell ref="B6:C6"/>
    <mergeCell ref="B7:C7"/>
    <mergeCell ref="C14:D14"/>
    <mergeCell ref="C15:D15"/>
    <mergeCell ref="B19:C19"/>
    <mergeCell ref="B20:C20"/>
    <mergeCell ref="B21:C21"/>
    <mergeCell ref="B76:C76"/>
    <mergeCell ref="C32:D32"/>
    <mergeCell ref="C54:D54"/>
    <mergeCell ref="C55:D55"/>
    <mergeCell ref="B36:C36"/>
    <mergeCell ref="B37:C37"/>
    <mergeCell ref="B38:C38"/>
    <mergeCell ref="B59:C59"/>
    <mergeCell ref="B60:C60"/>
    <mergeCell ref="B61:C61"/>
    <mergeCell ref="C71:D71"/>
    <mergeCell ref="C72:D72"/>
    <mergeCell ref="B113:C113"/>
    <mergeCell ref="B77:C77"/>
    <mergeCell ref="B78:C78"/>
    <mergeCell ref="C88:D88"/>
    <mergeCell ref="C89:D89"/>
    <mergeCell ref="B94:C94"/>
    <mergeCell ref="B95:C95"/>
    <mergeCell ref="B96:C96"/>
    <mergeCell ref="C105:D105"/>
    <mergeCell ref="C106:D106"/>
    <mergeCell ref="B111:C111"/>
    <mergeCell ref="B112:C112"/>
    <mergeCell ref="C163:D163"/>
    <mergeCell ref="C124:D124"/>
    <mergeCell ref="C125:D125"/>
    <mergeCell ref="B130:C130"/>
    <mergeCell ref="B131:C131"/>
    <mergeCell ref="B132:C132"/>
    <mergeCell ref="C142:D142"/>
    <mergeCell ref="C143:D143"/>
    <mergeCell ref="B148:C148"/>
    <mergeCell ref="B149:C149"/>
    <mergeCell ref="B150:C150"/>
    <mergeCell ref="C162:D162"/>
    <mergeCell ref="B213:C213"/>
    <mergeCell ref="B168:C168"/>
    <mergeCell ref="B169:C169"/>
    <mergeCell ref="B170:C170"/>
    <mergeCell ref="C183:D183"/>
    <mergeCell ref="C184:D184"/>
    <mergeCell ref="B189:C189"/>
    <mergeCell ref="B190:C190"/>
    <mergeCell ref="B191:C191"/>
    <mergeCell ref="C206:D206"/>
    <mergeCell ref="C207:D207"/>
    <mergeCell ref="B212:C212"/>
    <mergeCell ref="C259:D259"/>
    <mergeCell ref="B214:C214"/>
    <mergeCell ref="C224:D224"/>
    <mergeCell ref="C225:D225"/>
    <mergeCell ref="B230:C230"/>
    <mergeCell ref="B231:C231"/>
    <mergeCell ref="B232:C232"/>
    <mergeCell ref="C242:D242"/>
    <mergeCell ref="C243:D243"/>
    <mergeCell ref="B248:C248"/>
    <mergeCell ref="B249:C249"/>
    <mergeCell ref="B250:C250"/>
    <mergeCell ref="C260:D260"/>
    <mergeCell ref="B264:C264"/>
    <mergeCell ref="B265:C265"/>
    <mergeCell ref="B266:C266"/>
    <mergeCell ref="B278:C278"/>
    <mergeCell ref="B320:C320"/>
    <mergeCell ref="B280:C280"/>
    <mergeCell ref="C272:D272"/>
    <mergeCell ref="C273:D273"/>
    <mergeCell ref="C295:D295"/>
    <mergeCell ref="C296:D296"/>
    <mergeCell ref="B301:C301"/>
    <mergeCell ref="B279:C279"/>
    <mergeCell ref="B302:C302"/>
    <mergeCell ref="B303:C303"/>
    <mergeCell ref="C313:D313"/>
    <mergeCell ref="C314:D314"/>
    <mergeCell ref="B319:C319"/>
    <mergeCell ref="C351:D351"/>
    <mergeCell ref="C352:D352"/>
    <mergeCell ref="B321:C321"/>
    <mergeCell ref="C332:D332"/>
    <mergeCell ref="C333:D333"/>
    <mergeCell ref="B338:C338"/>
    <mergeCell ref="B339:C339"/>
    <mergeCell ref="B340:C340"/>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59999389629810485"/>
  </sheetPr>
  <dimension ref="A1:L371"/>
  <sheetViews>
    <sheetView showGridLines="0" zoomScale="80" zoomScaleNormal="80" zoomScalePageLayoutView="80" workbookViewId="0">
      <selection activeCell="A2" sqref="A2"/>
    </sheetView>
  </sheetViews>
  <sheetFormatPr baseColWidth="10" defaultColWidth="11" defaultRowHeight="15.6" x14ac:dyDescent="0.3"/>
  <cols>
    <col min="1" max="1" width="3.69921875" customWidth="1"/>
    <col min="2" max="2" width="25" customWidth="1"/>
    <col min="3" max="3" width="12.19921875" bestFit="1" customWidth="1"/>
    <col min="4" max="4" width="13" customWidth="1"/>
    <col min="5" max="6" width="16.19921875" customWidth="1"/>
  </cols>
  <sheetData>
    <row r="1" spans="1:7" ht="23.4" x14ac:dyDescent="0.45">
      <c r="A1" s="399" t="s">
        <v>617</v>
      </c>
      <c r="B1" s="399"/>
      <c r="C1" s="399"/>
      <c r="D1" s="399"/>
      <c r="E1" s="399"/>
      <c r="F1" s="399"/>
      <c r="G1" s="399"/>
    </row>
    <row r="2" spans="1:7" x14ac:dyDescent="0.3">
      <c r="B2" s="143"/>
      <c r="E2" s="274" t="s">
        <v>541</v>
      </c>
      <c r="F2" t="s">
        <v>542</v>
      </c>
    </row>
    <row r="3" spans="1:7" x14ac:dyDescent="0.3">
      <c r="E3" s="275" t="s">
        <v>541</v>
      </c>
      <c r="F3" t="s">
        <v>543</v>
      </c>
    </row>
    <row r="5" spans="1:7" ht="18.600000000000001" thickBot="1" x14ac:dyDescent="0.35">
      <c r="B5" s="76" t="s">
        <v>3</v>
      </c>
      <c r="C5" s="77"/>
      <c r="D5" s="77"/>
      <c r="E5" s="77"/>
      <c r="F5" s="77"/>
      <c r="G5" s="77"/>
    </row>
    <row r="7" spans="1:7" x14ac:dyDescent="0.3">
      <c r="B7" s="408" t="s">
        <v>436</v>
      </c>
      <c r="C7" s="408"/>
      <c r="D7" s="62">
        <f>'Infos zone€'!G5</f>
        <v>24</v>
      </c>
    </row>
    <row r="8" spans="1:7" x14ac:dyDescent="0.3">
      <c r="B8" s="408" t="s">
        <v>539</v>
      </c>
      <c r="C8" s="408"/>
      <c r="D8">
        <f>630+69</f>
        <v>699</v>
      </c>
    </row>
    <row r="9" spans="1:7" x14ac:dyDescent="0.3">
      <c r="B9" s="405" t="s">
        <v>438</v>
      </c>
      <c r="C9" s="405"/>
      <c r="D9" s="138">
        <f>D8/D7</f>
        <v>29.125</v>
      </c>
    </row>
    <row r="11" spans="1:7" ht="57.6" x14ac:dyDescent="0.3">
      <c r="B11" s="31" t="s">
        <v>327</v>
      </c>
      <c r="C11" s="32" t="s">
        <v>538</v>
      </c>
      <c r="D11" s="32" t="s">
        <v>439</v>
      </c>
      <c r="E11" s="406">
        <f>C19</f>
        <v>2</v>
      </c>
      <c r="F11" s="407"/>
      <c r="G11" s="67" t="s">
        <v>332</v>
      </c>
    </row>
    <row r="12" spans="1:7" x14ac:dyDescent="0.3">
      <c r="B12" s="9" t="s">
        <v>328</v>
      </c>
      <c r="C12" s="10">
        <f>310+19</f>
        <v>329</v>
      </c>
      <c r="D12" s="68">
        <f>TRUNC(C12/$D$9)</f>
        <v>11</v>
      </c>
      <c r="E12" s="109">
        <f>$C12/(D12+1)</f>
        <v>27.416666666666668</v>
      </c>
      <c r="F12" s="109">
        <f>$C12/(D12+1)</f>
        <v>27.416666666666668</v>
      </c>
      <c r="G12" s="72">
        <v>12</v>
      </c>
    </row>
    <row r="13" spans="1:7" x14ac:dyDescent="0.3">
      <c r="B13" s="65" t="s">
        <v>31</v>
      </c>
      <c r="C13" s="13">
        <f>193+28</f>
        <v>221</v>
      </c>
      <c r="D13" s="8">
        <f t="shared" ref="D13:D14" si="0">TRUNC(C13/$D$9)</f>
        <v>7</v>
      </c>
      <c r="E13" s="116">
        <f>$C13/(D13+1)</f>
        <v>27.625</v>
      </c>
      <c r="F13" s="116">
        <f>$C13/(D13+1+1)</f>
        <v>24.555555555555557</v>
      </c>
      <c r="G13" s="73">
        <v>8</v>
      </c>
    </row>
    <row r="14" spans="1:7" x14ac:dyDescent="0.3">
      <c r="B14" s="9" t="s">
        <v>34</v>
      </c>
      <c r="C14" s="10">
        <f>64+5</f>
        <v>69</v>
      </c>
      <c r="D14" s="68">
        <f t="shared" si="0"/>
        <v>2</v>
      </c>
      <c r="E14" s="122">
        <f>$C14/(D14+1)</f>
        <v>23</v>
      </c>
      <c r="F14" s="122">
        <f>$C14/(D14+1)</f>
        <v>23</v>
      </c>
      <c r="G14" s="72">
        <v>2</v>
      </c>
    </row>
    <row r="15" spans="1:7" x14ac:dyDescent="0.3">
      <c r="B15" s="65" t="s">
        <v>540</v>
      </c>
      <c r="C15" s="13">
        <f>63+15</f>
        <v>78</v>
      </c>
      <c r="D15" s="13">
        <f t="shared" ref="D15:D17" si="1">TRUNC(C15/$D$9)</f>
        <v>2</v>
      </c>
      <c r="E15" s="13">
        <f>$C15/(D15+1)</f>
        <v>26</v>
      </c>
      <c r="F15" s="13">
        <f>C15/(D15+1)</f>
        <v>26</v>
      </c>
      <c r="G15" s="73">
        <v>2</v>
      </c>
    </row>
    <row r="16" spans="1:7" x14ac:dyDescent="0.3">
      <c r="B16" s="226" t="s">
        <v>486</v>
      </c>
      <c r="C16" s="10">
        <v>1</v>
      </c>
      <c r="D16" s="10">
        <f t="shared" si="1"/>
        <v>0</v>
      </c>
      <c r="E16" s="122">
        <f>C16/(D16+1)</f>
        <v>1</v>
      </c>
      <c r="F16" s="109"/>
      <c r="G16" s="72">
        <v>0</v>
      </c>
    </row>
    <row r="17" spans="2:7" ht="31.2" x14ac:dyDescent="0.3">
      <c r="B17" s="227" t="s">
        <v>489</v>
      </c>
      <c r="C17" s="64">
        <v>1</v>
      </c>
      <c r="D17" s="64">
        <f t="shared" si="1"/>
        <v>0</v>
      </c>
      <c r="E17" s="228">
        <f>$C17/(D17+1)</f>
        <v>1</v>
      </c>
      <c r="F17" s="69">
        <f>C17/(D17+1)</f>
        <v>1</v>
      </c>
      <c r="G17" s="74">
        <v>0</v>
      </c>
    </row>
    <row r="18" spans="2:7" x14ac:dyDescent="0.3">
      <c r="C18" s="401">
        <f>SUM(D12:D17)</f>
        <v>22</v>
      </c>
      <c r="D18" s="401"/>
      <c r="G18" s="75">
        <f>SUM(G12:G17)</f>
        <v>24</v>
      </c>
    </row>
    <row r="19" spans="2:7" x14ac:dyDescent="0.3">
      <c r="C19" s="404">
        <f>D7-C18</f>
        <v>2</v>
      </c>
      <c r="D19" s="404"/>
    </row>
    <row r="22" spans="2:7" ht="18.600000000000001" thickBot="1" x14ac:dyDescent="0.35">
      <c r="B22" s="76" t="s">
        <v>4</v>
      </c>
      <c r="C22" s="77"/>
      <c r="D22" s="77"/>
      <c r="E22" s="77"/>
      <c r="F22" s="77"/>
    </row>
    <row r="24" spans="2:7" x14ac:dyDescent="0.3">
      <c r="B24" s="408" t="s">
        <v>436</v>
      </c>
      <c r="C24" s="408"/>
      <c r="D24" s="62">
        <f>'Infos zone€'!G6</f>
        <v>3</v>
      </c>
    </row>
    <row r="25" spans="2:7" x14ac:dyDescent="0.3">
      <c r="B25" s="408" t="s">
        <v>539</v>
      </c>
      <c r="C25" s="408"/>
      <c r="D25">
        <f>183+61</f>
        <v>244</v>
      </c>
    </row>
    <row r="26" spans="2:7" x14ac:dyDescent="0.3">
      <c r="B26" s="405" t="s">
        <v>438</v>
      </c>
      <c r="C26" s="405"/>
      <c r="D26" s="138">
        <f>D25/D24</f>
        <v>81.333333333333329</v>
      </c>
    </row>
    <row r="28" spans="2:7" ht="57.6" x14ac:dyDescent="0.3">
      <c r="B28" s="31" t="s">
        <v>327</v>
      </c>
      <c r="C28" s="32" t="s">
        <v>538</v>
      </c>
      <c r="D28" s="32" t="s">
        <v>439</v>
      </c>
      <c r="E28" s="402">
        <f>C37</f>
        <v>3</v>
      </c>
      <c r="F28" s="403"/>
      <c r="G28" s="67" t="s">
        <v>332</v>
      </c>
    </row>
    <row r="29" spans="2:7" x14ac:dyDescent="0.3">
      <c r="B29" s="84" t="s">
        <v>333</v>
      </c>
      <c r="C29" s="82">
        <f>52+20</f>
        <v>72</v>
      </c>
      <c r="D29" s="82">
        <f>TRUNC(C29/$D$26)</f>
        <v>0</v>
      </c>
      <c r="E29" s="122">
        <f>C29/(D29+1)</f>
        <v>72</v>
      </c>
      <c r="F29" s="122">
        <f>C29/(D29+1+1)</f>
        <v>36</v>
      </c>
      <c r="G29" s="229">
        <v>1</v>
      </c>
    </row>
    <row r="30" spans="2:7" x14ac:dyDescent="0.3">
      <c r="B30" s="211" t="s">
        <v>62</v>
      </c>
      <c r="C30" s="16">
        <f>50+22</f>
        <v>72</v>
      </c>
      <c r="D30" s="16">
        <f t="shared" ref="D30:D35" si="2">TRUNC(C30/$D$26)</f>
        <v>0</v>
      </c>
      <c r="E30" s="141">
        <f>C30/(D30+1)</f>
        <v>72</v>
      </c>
      <c r="F30" s="141">
        <f>C30/(D30+1+1)</f>
        <v>36</v>
      </c>
      <c r="G30" s="230">
        <v>1</v>
      </c>
    </row>
    <row r="31" spans="2:7" x14ac:dyDescent="0.3">
      <c r="B31" s="84" t="s">
        <v>40</v>
      </c>
      <c r="C31" s="82">
        <f>38+13</f>
        <v>51</v>
      </c>
      <c r="D31" s="82">
        <f t="shared" si="2"/>
        <v>0</v>
      </c>
      <c r="E31" s="122">
        <f t="shared" ref="E31:E35" si="3">C31/(D31+1)</f>
        <v>51</v>
      </c>
      <c r="F31" s="122">
        <f t="shared" ref="F31:F35" si="4">E31</f>
        <v>51</v>
      </c>
      <c r="G31" s="231">
        <v>1</v>
      </c>
    </row>
    <row r="32" spans="2:7" x14ac:dyDescent="0.3">
      <c r="B32" s="211" t="s">
        <v>441</v>
      </c>
      <c r="C32" s="16">
        <f>24+4</f>
        <v>28</v>
      </c>
      <c r="D32" s="16">
        <f t="shared" si="2"/>
        <v>0</v>
      </c>
      <c r="E32" s="141">
        <f t="shared" si="3"/>
        <v>28</v>
      </c>
      <c r="F32" s="141">
        <f t="shared" si="4"/>
        <v>28</v>
      </c>
      <c r="G32" s="232">
        <v>0</v>
      </c>
    </row>
    <row r="33" spans="2:8" x14ac:dyDescent="0.3">
      <c r="B33" s="11" t="s">
        <v>39</v>
      </c>
      <c r="C33" s="82">
        <f>6+1</f>
        <v>7</v>
      </c>
      <c r="D33" s="82">
        <f t="shared" si="2"/>
        <v>0</v>
      </c>
      <c r="E33" s="122">
        <f t="shared" si="3"/>
        <v>7</v>
      </c>
      <c r="F33" s="122">
        <f t="shared" si="4"/>
        <v>7</v>
      </c>
      <c r="G33" s="233">
        <v>0</v>
      </c>
    </row>
    <row r="34" spans="2:8" x14ac:dyDescent="0.3">
      <c r="B34" s="238" t="s">
        <v>38</v>
      </c>
      <c r="C34" s="16">
        <v>9</v>
      </c>
      <c r="D34" s="16">
        <f t="shared" si="2"/>
        <v>0</v>
      </c>
      <c r="E34" s="141">
        <f t="shared" si="3"/>
        <v>9</v>
      </c>
      <c r="F34" s="141">
        <f t="shared" si="4"/>
        <v>9</v>
      </c>
      <c r="G34" s="232">
        <v>0</v>
      </c>
    </row>
    <row r="35" spans="2:8" x14ac:dyDescent="0.3">
      <c r="B35" s="85" t="s">
        <v>44</v>
      </c>
      <c r="C35" s="90">
        <f>4+1</f>
        <v>5</v>
      </c>
      <c r="D35" s="90">
        <f t="shared" si="2"/>
        <v>0</v>
      </c>
      <c r="E35" s="142">
        <f t="shared" si="3"/>
        <v>5</v>
      </c>
      <c r="F35" s="142">
        <f t="shared" si="4"/>
        <v>5</v>
      </c>
      <c r="G35" s="234">
        <v>0</v>
      </c>
    </row>
    <row r="36" spans="2:8" x14ac:dyDescent="0.3">
      <c r="C36" s="409">
        <v>0</v>
      </c>
      <c r="D36" s="409"/>
      <c r="G36" s="235">
        <f>SUM(G29:G35)</f>
        <v>3</v>
      </c>
    </row>
    <row r="37" spans="2:8" x14ac:dyDescent="0.3">
      <c r="C37" s="404">
        <f>D24-C36</f>
        <v>3</v>
      </c>
      <c r="D37" s="404"/>
      <c r="G37" s="62"/>
    </row>
    <row r="40" spans="2:8" ht="18.600000000000001" thickBot="1" x14ac:dyDescent="0.35">
      <c r="B40" s="76" t="s">
        <v>5</v>
      </c>
      <c r="C40" s="77"/>
      <c r="D40" s="77"/>
      <c r="E40" s="77"/>
      <c r="F40" s="77"/>
    </row>
    <row r="42" spans="2:8" x14ac:dyDescent="0.3">
      <c r="B42" s="408" t="s">
        <v>436</v>
      </c>
      <c r="C42" s="408"/>
      <c r="D42" s="62">
        <f>'Infos zone€'!G7</f>
        <v>3</v>
      </c>
    </row>
    <row r="43" spans="2:8" x14ac:dyDescent="0.3">
      <c r="B43" s="408" t="s">
        <v>539</v>
      </c>
      <c r="C43" s="408"/>
      <c r="D43">
        <f>150+60</f>
        <v>210</v>
      </c>
    </row>
    <row r="44" spans="2:8" x14ac:dyDescent="0.3">
      <c r="B44" s="405" t="s">
        <v>438</v>
      </c>
      <c r="C44" s="405"/>
      <c r="D44" s="63">
        <f>D43/D42</f>
        <v>70</v>
      </c>
    </row>
    <row r="46" spans="2:8" ht="57.6" x14ac:dyDescent="0.3">
      <c r="B46" s="31" t="s">
        <v>327</v>
      </c>
      <c r="C46" s="32" t="s">
        <v>538</v>
      </c>
      <c r="D46" s="32" t="s">
        <v>439</v>
      </c>
      <c r="E46" s="402">
        <f>C55</f>
        <v>5</v>
      </c>
      <c r="F46" s="402"/>
      <c r="G46" s="402"/>
      <c r="H46" s="67" t="s">
        <v>332</v>
      </c>
    </row>
    <row r="47" spans="2:8" x14ac:dyDescent="0.3">
      <c r="B47" s="84" t="s">
        <v>89</v>
      </c>
      <c r="C47" s="82">
        <f>31+12</f>
        <v>43</v>
      </c>
      <c r="D47" s="82">
        <f>TRUNC(C47/$D$44)</f>
        <v>0</v>
      </c>
      <c r="E47" s="115">
        <f>C47/(D47+1)</f>
        <v>43</v>
      </c>
      <c r="F47" s="115">
        <f>C47/(D47+1+1)</f>
        <v>21.5</v>
      </c>
      <c r="G47" s="115">
        <f>F47</f>
        <v>21.5</v>
      </c>
      <c r="H47" s="182">
        <v>1</v>
      </c>
    </row>
    <row r="48" spans="2:8" x14ac:dyDescent="0.3">
      <c r="B48" s="211" t="s">
        <v>66</v>
      </c>
      <c r="C48" s="16">
        <f>23+10</f>
        <v>33</v>
      </c>
      <c r="D48" s="16">
        <f>TRUNC(C48/$D$44)</f>
        <v>0</v>
      </c>
      <c r="E48" s="16">
        <f t="shared" ref="E48:E59" si="5">C48/(D48+1)</f>
        <v>33</v>
      </c>
      <c r="F48" s="16">
        <f>E48</f>
        <v>33</v>
      </c>
      <c r="G48" s="16">
        <f>C48/(D48+1+1)</f>
        <v>16.5</v>
      </c>
      <c r="H48" s="94">
        <v>1</v>
      </c>
    </row>
    <row r="49" spans="2:9" x14ac:dyDescent="0.3">
      <c r="B49" s="84" t="s">
        <v>334</v>
      </c>
      <c r="C49" s="82">
        <f>20+8</f>
        <v>28</v>
      </c>
      <c r="D49" s="82">
        <f t="shared" ref="D49:D59" si="6">TRUNC(C49/$D$44)</f>
        <v>0</v>
      </c>
      <c r="E49" s="82">
        <f t="shared" si="5"/>
        <v>28</v>
      </c>
      <c r="F49" s="82">
        <f t="shared" ref="F49:G59" si="7">E49</f>
        <v>28</v>
      </c>
      <c r="G49" s="82">
        <f>F49</f>
        <v>28</v>
      </c>
      <c r="H49" s="96">
        <v>1</v>
      </c>
    </row>
    <row r="50" spans="2:9" x14ac:dyDescent="0.3">
      <c r="B50" s="211" t="s">
        <v>335</v>
      </c>
      <c r="C50" s="16">
        <f>18+8</f>
        <v>26</v>
      </c>
      <c r="D50" s="16">
        <f t="shared" si="6"/>
        <v>0</v>
      </c>
      <c r="E50" s="16">
        <f t="shared" si="5"/>
        <v>26</v>
      </c>
      <c r="F50" s="16">
        <f t="shared" si="7"/>
        <v>26</v>
      </c>
      <c r="G50" s="16">
        <f t="shared" si="7"/>
        <v>26</v>
      </c>
      <c r="H50" s="88">
        <v>0</v>
      </c>
    </row>
    <row r="51" spans="2:9" x14ac:dyDescent="0.3">
      <c r="B51" s="11" t="s">
        <v>336</v>
      </c>
      <c r="C51" s="82">
        <f>14+5</f>
        <v>19</v>
      </c>
      <c r="D51" s="82">
        <f t="shared" si="6"/>
        <v>0</v>
      </c>
      <c r="E51" s="82">
        <f t="shared" si="5"/>
        <v>19</v>
      </c>
      <c r="F51" s="82">
        <f t="shared" si="7"/>
        <v>19</v>
      </c>
      <c r="G51" s="82">
        <f t="shared" si="7"/>
        <v>19</v>
      </c>
      <c r="H51" s="89">
        <v>0</v>
      </c>
    </row>
    <row r="52" spans="2:9" x14ac:dyDescent="0.3">
      <c r="B52" s="12" t="s">
        <v>67</v>
      </c>
      <c r="C52" s="16">
        <f>13+5</f>
        <v>18</v>
      </c>
      <c r="D52" s="16">
        <f t="shared" si="6"/>
        <v>0</v>
      </c>
      <c r="E52" s="16">
        <f t="shared" si="5"/>
        <v>18</v>
      </c>
      <c r="F52" s="16">
        <f t="shared" si="7"/>
        <v>18</v>
      </c>
      <c r="G52" s="16">
        <f t="shared" si="7"/>
        <v>18</v>
      </c>
      <c r="H52" s="88">
        <v>0</v>
      </c>
    </row>
    <row r="53" spans="2:9" x14ac:dyDescent="0.3">
      <c r="B53" s="84" t="s">
        <v>68</v>
      </c>
      <c r="C53" s="82">
        <f>12+6</f>
        <v>18</v>
      </c>
      <c r="D53" s="82">
        <f t="shared" si="6"/>
        <v>0</v>
      </c>
      <c r="E53" s="82">
        <f t="shared" si="5"/>
        <v>18</v>
      </c>
      <c r="F53" s="82">
        <f t="shared" si="7"/>
        <v>18</v>
      </c>
      <c r="G53" s="82">
        <f t="shared" si="7"/>
        <v>18</v>
      </c>
      <c r="H53" s="89">
        <v>0</v>
      </c>
    </row>
    <row r="54" spans="2:9" x14ac:dyDescent="0.3">
      <c r="B54" s="211" t="s">
        <v>69</v>
      </c>
      <c r="C54" s="16">
        <f>9+4</f>
        <v>13</v>
      </c>
      <c r="D54" s="16">
        <f t="shared" si="6"/>
        <v>0</v>
      </c>
      <c r="E54" s="16">
        <f t="shared" si="5"/>
        <v>13</v>
      </c>
      <c r="F54" s="16">
        <f t="shared" si="7"/>
        <v>13</v>
      </c>
      <c r="G54" s="16">
        <f t="shared" si="7"/>
        <v>13</v>
      </c>
      <c r="H54" s="88">
        <v>0</v>
      </c>
    </row>
    <row r="55" spans="2:9" x14ac:dyDescent="0.3">
      <c r="B55" s="84" t="s">
        <v>70</v>
      </c>
      <c r="C55" s="82">
        <f>3+2</f>
        <v>5</v>
      </c>
      <c r="D55" s="82">
        <f t="shared" si="6"/>
        <v>0</v>
      </c>
      <c r="E55" s="82">
        <f t="shared" si="5"/>
        <v>5</v>
      </c>
      <c r="F55" s="82">
        <f t="shared" si="7"/>
        <v>5</v>
      </c>
      <c r="G55" s="82">
        <f t="shared" si="7"/>
        <v>5</v>
      </c>
      <c r="H55" s="89">
        <v>0</v>
      </c>
    </row>
    <row r="56" spans="2:9" x14ac:dyDescent="0.3">
      <c r="B56" s="236" t="s">
        <v>71</v>
      </c>
      <c r="C56" s="16">
        <v>2</v>
      </c>
      <c r="D56" s="16">
        <f t="shared" si="6"/>
        <v>0</v>
      </c>
      <c r="E56" s="16">
        <f t="shared" si="5"/>
        <v>2</v>
      </c>
      <c r="F56" s="16">
        <f t="shared" si="7"/>
        <v>2</v>
      </c>
      <c r="G56" s="16">
        <f t="shared" si="7"/>
        <v>2</v>
      </c>
      <c r="H56" s="88">
        <v>0</v>
      </c>
    </row>
    <row r="57" spans="2:9" x14ac:dyDescent="0.3">
      <c r="B57" s="237" t="s">
        <v>78</v>
      </c>
      <c r="C57" s="82">
        <v>2</v>
      </c>
      <c r="D57" s="82">
        <f t="shared" si="6"/>
        <v>0</v>
      </c>
      <c r="E57" s="82">
        <f t="shared" si="5"/>
        <v>2</v>
      </c>
      <c r="F57" s="82">
        <f t="shared" si="7"/>
        <v>2</v>
      </c>
      <c r="G57" s="82">
        <f t="shared" si="7"/>
        <v>2</v>
      </c>
      <c r="H57" s="89">
        <v>0</v>
      </c>
    </row>
    <row r="58" spans="2:9" x14ac:dyDescent="0.3">
      <c r="B58" s="238" t="s">
        <v>72</v>
      </c>
      <c r="C58" s="16">
        <v>1</v>
      </c>
      <c r="D58" s="16">
        <f t="shared" si="6"/>
        <v>0</v>
      </c>
      <c r="E58" s="16">
        <f t="shared" si="5"/>
        <v>1</v>
      </c>
      <c r="F58" s="16">
        <f t="shared" si="7"/>
        <v>1</v>
      </c>
      <c r="G58" s="16">
        <f t="shared" si="7"/>
        <v>1</v>
      </c>
      <c r="H58" s="88">
        <v>0</v>
      </c>
    </row>
    <row r="59" spans="2:9" x14ac:dyDescent="0.3">
      <c r="B59" s="239" t="s">
        <v>44</v>
      </c>
      <c r="C59" s="90">
        <v>2</v>
      </c>
      <c r="D59" s="90">
        <f t="shared" si="6"/>
        <v>0</v>
      </c>
      <c r="E59" s="90">
        <f t="shared" si="5"/>
        <v>2</v>
      </c>
      <c r="F59" s="90">
        <f t="shared" si="7"/>
        <v>2</v>
      </c>
      <c r="G59" s="90">
        <f t="shared" si="7"/>
        <v>2</v>
      </c>
      <c r="H59" s="91">
        <v>0</v>
      </c>
    </row>
    <row r="60" spans="2:9" x14ac:dyDescent="0.3">
      <c r="C60" s="401">
        <v>0</v>
      </c>
      <c r="D60" s="401"/>
      <c r="H60" s="75">
        <f>SUM(H47:H59)</f>
        <v>3</v>
      </c>
    </row>
    <row r="61" spans="2:9" x14ac:dyDescent="0.3">
      <c r="C61" s="404">
        <f>D42-C60</f>
        <v>3</v>
      </c>
      <c r="D61" s="404"/>
      <c r="I61" s="1"/>
    </row>
    <row r="64" spans="2:9" ht="18.600000000000001" thickBot="1" x14ac:dyDescent="0.35">
      <c r="B64" s="76" t="s">
        <v>544</v>
      </c>
      <c r="C64" s="77"/>
      <c r="D64" s="77"/>
      <c r="E64" s="77"/>
      <c r="F64" s="77"/>
    </row>
    <row r="66" spans="2:6" x14ac:dyDescent="0.3">
      <c r="B66" s="408" t="s">
        <v>436</v>
      </c>
      <c r="C66" s="408"/>
      <c r="D66" s="62">
        <f>'Infos zone€'!G8</f>
        <v>1</v>
      </c>
    </row>
    <row r="67" spans="2:6" x14ac:dyDescent="0.3">
      <c r="B67" s="408" t="s">
        <v>330</v>
      </c>
      <c r="C67" s="408"/>
      <c r="D67">
        <v>56</v>
      </c>
    </row>
    <row r="68" spans="2:6" x14ac:dyDescent="0.3">
      <c r="B68" s="405" t="s">
        <v>438</v>
      </c>
      <c r="C68" s="405"/>
      <c r="D68" s="63">
        <f>D67/D66</f>
        <v>56</v>
      </c>
    </row>
    <row r="70" spans="2:6" ht="28.8" x14ac:dyDescent="0.3">
      <c r="B70" s="31" t="s">
        <v>327</v>
      </c>
      <c r="C70" s="32" t="s">
        <v>331</v>
      </c>
      <c r="D70" s="32" t="s">
        <v>442</v>
      </c>
      <c r="E70" s="212" t="s">
        <v>448</v>
      </c>
      <c r="F70" s="67" t="s">
        <v>332</v>
      </c>
    </row>
    <row r="71" spans="2:6" x14ac:dyDescent="0.3">
      <c r="B71" s="84" t="s">
        <v>90</v>
      </c>
      <c r="C71" s="82">
        <v>20</v>
      </c>
      <c r="D71" s="83">
        <f t="shared" ref="D71:D77" si="8">C71/$D$68</f>
        <v>0.35714285714285715</v>
      </c>
      <c r="E71" s="86">
        <v>1</v>
      </c>
      <c r="F71" s="182">
        <f t="shared" ref="F71:F77" si="9">E71</f>
        <v>1</v>
      </c>
    </row>
    <row r="72" spans="2:6" x14ac:dyDescent="0.3">
      <c r="B72" s="211" t="s">
        <v>103</v>
      </c>
      <c r="C72" s="16">
        <v>19</v>
      </c>
      <c r="D72" s="81">
        <f t="shared" si="8"/>
        <v>0.3392857142857143</v>
      </c>
      <c r="E72" s="93">
        <v>0</v>
      </c>
      <c r="F72" s="94">
        <f t="shared" si="9"/>
        <v>0</v>
      </c>
    </row>
    <row r="73" spans="2:6" x14ac:dyDescent="0.3">
      <c r="B73" s="84" t="s">
        <v>104</v>
      </c>
      <c r="C73" s="82">
        <v>8</v>
      </c>
      <c r="D73" s="83">
        <f t="shared" si="8"/>
        <v>0.14285714285714285</v>
      </c>
      <c r="E73" s="95">
        <v>0</v>
      </c>
      <c r="F73" s="96">
        <f t="shared" si="9"/>
        <v>0</v>
      </c>
    </row>
    <row r="74" spans="2:6" x14ac:dyDescent="0.3">
      <c r="B74" s="211" t="s">
        <v>91</v>
      </c>
      <c r="C74" s="16">
        <v>5</v>
      </c>
      <c r="D74" s="81">
        <f t="shared" si="8"/>
        <v>8.9285714285714288E-2</v>
      </c>
      <c r="E74" s="16">
        <v>0</v>
      </c>
      <c r="F74" s="88">
        <f t="shared" si="9"/>
        <v>0</v>
      </c>
    </row>
    <row r="75" spans="2:6" x14ac:dyDescent="0.3">
      <c r="B75" s="11" t="s">
        <v>92</v>
      </c>
      <c r="C75" s="82">
        <v>1</v>
      </c>
      <c r="D75" s="83">
        <f t="shared" si="8"/>
        <v>1.7857142857142856E-2</v>
      </c>
      <c r="E75" s="82">
        <v>0</v>
      </c>
      <c r="F75" s="89">
        <f t="shared" si="9"/>
        <v>0</v>
      </c>
    </row>
    <row r="76" spans="2:6" x14ac:dyDescent="0.3">
      <c r="B76" s="12" t="s">
        <v>93</v>
      </c>
      <c r="C76" s="16">
        <v>1</v>
      </c>
      <c r="D76" s="81">
        <f t="shared" si="8"/>
        <v>1.7857142857142856E-2</v>
      </c>
      <c r="E76" s="16">
        <v>0</v>
      </c>
      <c r="F76" s="88">
        <f t="shared" si="9"/>
        <v>0</v>
      </c>
    </row>
    <row r="77" spans="2:6" x14ac:dyDescent="0.3">
      <c r="B77" s="98" t="s">
        <v>44</v>
      </c>
      <c r="C77" s="90">
        <v>2</v>
      </c>
      <c r="D77" s="92">
        <f t="shared" si="8"/>
        <v>3.5714285714285712E-2</v>
      </c>
      <c r="E77" s="90">
        <v>0</v>
      </c>
      <c r="F77" s="91">
        <f t="shared" si="9"/>
        <v>0</v>
      </c>
    </row>
    <row r="78" spans="2:6" x14ac:dyDescent="0.3">
      <c r="C78" s="401">
        <v>0</v>
      </c>
      <c r="D78" s="401"/>
      <c r="F78" s="75">
        <f>SUM(F71:F77)</f>
        <v>1</v>
      </c>
    </row>
    <row r="79" spans="2:6" x14ac:dyDescent="0.3">
      <c r="C79" s="404">
        <f>D66-C78</f>
        <v>1</v>
      </c>
      <c r="D79" s="404"/>
      <c r="F79" s="97" t="s">
        <v>454</v>
      </c>
    </row>
    <row r="82" spans="2:8" ht="18.600000000000001" thickBot="1" x14ac:dyDescent="0.35">
      <c r="B82" s="76" t="s">
        <v>6</v>
      </c>
      <c r="C82" s="77"/>
      <c r="D82" s="77"/>
      <c r="E82" s="77"/>
      <c r="F82" s="77"/>
      <c r="G82" s="77"/>
    </row>
    <row r="84" spans="2:8" x14ac:dyDescent="0.3">
      <c r="B84" s="408" t="s">
        <v>436</v>
      </c>
      <c r="C84" s="408"/>
      <c r="D84" s="62">
        <f>'Infos zone€'!G9</f>
        <v>14.000000000000002</v>
      </c>
    </row>
    <row r="85" spans="2:8" x14ac:dyDescent="0.3">
      <c r="B85" s="408" t="s">
        <v>539</v>
      </c>
      <c r="C85" s="408"/>
      <c r="D85">
        <f>350+266</f>
        <v>616</v>
      </c>
    </row>
    <row r="86" spans="2:8" x14ac:dyDescent="0.3">
      <c r="B86" s="405" t="s">
        <v>438</v>
      </c>
      <c r="C86" s="405"/>
      <c r="D86" s="63">
        <f>D85/D84</f>
        <v>43.999999999999993</v>
      </c>
    </row>
    <row r="88" spans="2:8" ht="57.6" x14ac:dyDescent="0.3">
      <c r="B88" s="31" t="s">
        <v>327</v>
      </c>
      <c r="C88" s="32" t="s">
        <v>538</v>
      </c>
      <c r="D88" s="32" t="s">
        <v>439</v>
      </c>
      <c r="E88" s="406">
        <f>C97</f>
        <v>3.0000000000000018</v>
      </c>
      <c r="F88" s="406"/>
      <c r="G88" s="407"/>
      <c r="H88" s="67" t="s">
        <v>332</v>
      </c>
    </row>
    <row r="89" spans="2:8" x14ac:dyDescent="0.3">
      <c r="B89" s="9" t="s">
        <v>107</v>
      </c>
      <c r="C89" s="10">
        <f>84+62</f>
        <v>146</v>
      </c>
      <c r="D89" s="10">
        <f>TRUNC(C89/$D$86)</f>
        <v>3</v>
      </c>
      <c r="E89" s="68">
        <f>C89/(D89+1)</f>
        <v>36.5</v>
      </c>
      <c r="F89" s="68">
        <f>C89/(D89+1)</f>
        <v>36.5</v>
      </c>
      <c r="G89" s="68">
        <f>C89/(D89+1+1)</f>
        <v>29.2</v>
      </c>
      <c r="H89" s="72">
        <v>4</v>
      </c>
    </row>
    <row r="90" spans="2:8" x14ac:dyDescent="0.3">
      <c r="B90" s="65" t="s">
        <v>120</v>
      </c>
      <c r="C90" s="13">
        <f>134+149</f>
        <v>283</v>
      </c>
      <c r="D90" s="13">
        <f t="shared" ref="D90:D95" si="10">TRUNC(C90/$D$86)</f>
        <v>6</v>
      </c>
      <c r="E90" s="116">
        <f t="shared" ref="E90:E95" si="11">C90/(D90+1)</f>
        <v>40.428571428571431</v>
      </c>
      <c r="F90" s="116">
        <f>C90/(D90+1+1)</f>
        <v>35.375</v>
      </c>
      <c r="G90" s="116">
        <f t="shared" ref="G90" si="12">C90/(D90+1+1)</f>
        <v>35.375</v>
      </c>
      <c r="H90" s="73">
        <v>8</v>
      </c>
    </row>
    <row r="91" spans="2:8" x14ac:dyDescent="0.3">
      <c r="B91" s="9" t="s">
        <v>108</v>
      </c>
      <c r="C91" s="10">
        <f>67+21</f>
        <v>88</v>
      </c>
      <c r="D91" s="10">
        <f t="shared" si="10"/>
        <v>2</v>
      </c>
      <c r="E91" s="109">
        <f t="shared" si="11"/>
        <v>29.333333333333332</v>
      </c>
      <c r="F91" s="109">
        <f>C91/(D91+1)</f>
        <v>29.333333333333332</v>
      </c>
      <c r="G91" s="109">
        <f>C91/(D91+1)</f>
        <v>29.333333333333332</v>
      </c>
      <c r="H91" s="72">
        <v>2</v>
      </c>
    </row>
    <row r="92" spans="2:8" x14ac:dyDescent="0.3">
      <c r="B92" s="65" t="s">
        <v>121</v>
      </c>
      <c r="C92" s="13">
        <f>32+3</f>
        <v>35</v>
      </c>
      <c r="D92" s="13">
        <f t="shared" si="10"/>
        <v>0</v>
      </c>
      <c r="E92" s="71">
        <f t="shared" si="11"/>
        <v>35</v>
      </c>
      <c r="F92" s="71">
        <f>C92/(D92+1)</f>
        <v>35</v>
      </c>
      <c r="G92" s="71">
        <f>C92/(D92+1)</f>
        <v>35</v>
      </c>
      <c r="H92" s="73">
        <v>0</v>
      </c>
    </row>
    <row r="93" spans="2:8" x14ac:dyDescent="0.3">
      <c r="B93" s="9" t="s">
        <v>110</v>
      </c>
      <c r="C93" s="10">
        <f>9+12</f>
        <v>21</v>
      </c>
      <c r="D93" s="10">
        <f t="shared" si="10"/>
        <v>0</v>
      </c>
      <c r="E93" s="68">
        <f t="shared" si="11"/>
        <v>21</v>
      </c>
      <c r="F93" s="68">
        <f>C93/(D93+1)</f>
        <v>21</v>
      </c>
      <c r="G93" s="68">
        <f>C93/(D93+1)</f>
        <v>21</v>
      </c>
      <c r="H93" s="72">
        <v>0</v>
      </c>
    </row>
    <row r="94" spans="2:8" x14ac:dyDescent="0.3">
      <c r="B94" s="65" t="s">
        <v>111</v>
      </c>
      <c r="C94" s="13">
        <f>5+6</f>
        <v>11</v>
      </c>
      <c r="D94" s="13">
        <f t="shared" si="10"/>
        <v>0</v>
      </c>
      <c r="E94" s="71">
        <f t="shared" si="11"/>
        <v>11</v>
      </c>
      <c r="F94" s="71">
        <f>C94/(D94+1)</f>
        <v>11</v>
      </c>
      <c r="G94" s="71">
        <f>C94/(D94+1)</f>
        <v>11</v>
      </c>
      <c r="H94" s="73">
        <v>0</v>
      </c>
    </row>
    <row r="95" spans="2:8" x14ac:dyDescent="0.3">
      <c r="B95" s="99" t="s">
        <v>109</v>
      </c>
      <c r="C95" s="100">
        <f>19+13</f>
        <v>32</v>
      </c>
      <c r="D95" s="100">
        <f t="shared" si="10"/>
        <v>0</v>
      </c>
      <c r="E95" s="101">
        <f t="shared" si="11"/>
        <v>32</v>
      </c>
      <c r="F95" s="101">
        <f>C95/(D95+1)</f>
        <v>32</v>
      </c>
      <c r="G95" s="101">
        <f>C95/(D95+1)</f>
        <v>32</v>
      </c>
      <c r="H95" s="102">
        <v>0</v>
      </c>
    </row>
    <row r="96" spans="2:8" x14ac:dyDescent="0.3">
      <c r="C96" s="401">
        <f>SUM(D89:D95)</f>
        <v>11</v>
      </c>
      <c r="D96" s="401"/>
      <c r="H96" s="75">
        <f>SUM(H89:H95)</f>
        <v>14</v>
      </c>
    </row>
    <row r="97" spans="2:6" x14ac:dyDescent="0.3">
      <c r="C97" s="404">
        <f>D84-C96</f>
        <v>3.0000000000000018</v>
      </c>
      <c r="D97" s="404"/>
    </row>
    <row r="100" spans="2:6" ht="18.600000000000001" thickBot="1" x14ac:dyDescent="0.35">
      <c r="B100" s="76" t="s">
        <v>545</v>
      </c>
      <c r="C100" s="77"/>
      <c r="D100" s="77"/>
      <c r="E100" s="77"/>
      <c r="F100" s="77"/>
    </row>
    <row r="102" spans="2:6" x14ac:dyDescent="0.3">
      <c r="B102" s="408" t="s">
        <v>436</v>
      </c>
      <c r="C102" s="408"/>
      <c r="D102" s="62">
        <f>'Infos zone€'!G10</f>
        <v>1</v>
      </c>
    </row>
    <row r="103" spans="2:6" x14ac:dyDescent="0.3">
      <c r="B103" s="408" t="s">
        <v>330</v>
      </c>
      <c r="C103" s="408"/>
      <c r="D103">
        <v>101</v>
      </c>
    </row>
    <row r="104" spans="2:6" x14ac:dyDescent="0.3">
      <c r="B104" s="405" t="s">
        <v>438</v>
      </c>
      <c r="C104" s="405"/>
      <c r="D104" s="63">
        <f>D103/D102</f>
        <v>101</v>
      </c>
    </row>
    <row r="106" spans="2:6" ht="28.8" x14ac:dyDescent="0.3">
      <c r="B106" s="31" t="s">
        <v>327</v>
      </c>
      <c r="C106" s="32" t="s">
        <v>331</v>
      </c>
      <c r="D106" s="32" t="s">
        <v>442</v>
      </c>
      <c r="E106" s="212" t="s">
        <v>448</v>
      </c>
      <c r="F106" s="67" t="s">
        <v>332</v>
      </c>
    </row>
    <row r="107" spans="2:6" x14ac:dyDescent="0.3">
      <c r="B107" s="84" t="s">
        <v>342</v>
      </c>
      <c r="C107" s="82">
        <v>30</v>
      </c>
      <c r="D107" s="83">
        <f t="shared" ref="D107:D112" si="13">C107/$D$104</f>
        <v>0.29702970297029702</v>
      </c>
      <c r="E107" s="86">
        <v>1</v>
      </c>
      <c r="F107" s="229">
        <f t="shared" ref="F107:F112" si="14">E107</f>
        <v>1</v>
      </c>
    </row>
    <row r="108" spans="2:6" x14ac:dyDescent="0.3">
      <c r="B108" s="211" t="s">
        <v>351</v>
      </c>
      <c r="C108" s="16">
        <v>27</v>
      </c>
      <c r="D108" s="81">
        <f t="shared" si="13"/>
        <v>0.26732673267326734</v>
      </c>
      <c r="E108" s="93">
        <v>0</v>
      </c>
      <c r="F108" s="230">
        <f t="shared" si="14"/>
        <v>0</v>
      </c>
    </row>
    <row r="109" spans="2:6" x14ac:dyDescent="0.3">
      <c r="B109" s="84" t="s">
        <v>352</v>
      </c>
      <c r="C109" s="82">
        <v>15</v>
      </c>
      <c r="D109" s="83">
        <f t="shared" si="13"/>
        <v>0.14851485148514851</v>
      </c>
      <c r="E109" s="95">
        <v>0</v>
      </c>
      <c r="F109" s="231">
        <f t="shared" si="14"/>
        <v>0</v>
      </c>
    </row>
    <row r="110" spans="2:6" x14ac:dyDescent="0.3">
      <c r="B110" s="211" t="s">
        <v>353</v>
      </c>
      <c r="C110" s="16">
        <v>14</v>
      </c>
      <c r="D110" s="81">
        <f t="shared" si="13"/>
        <v>0.13861386138613863</v>
      </c>
      <c r="E110" s="16">
        <v>0</v>
      </c>
      <c r="F110" s="232">
        <f t="shared" si="14"/>
        <v>0</v>
      </c>
    </row>
    <row r="111" spans="2:6" x14ac:dyDescent="0.3">
      <c r="B111" s="11" t="s">
        <v>343</v>
      </c>
      <c r="C111" s="82">
        <v>8</v>
      </c>
      <c r="D111" s="83">
        <f t="shared" si="13"/>
        <v>7.9207920792079209E-2</v>
      </c>
      <c r="E111" s="82">
        <v>0</v>
      </c>
      <c r="F111" s="233">
        <f t="shared" si="14"/>
        <v>0</v>
      </c>
    </row>
    <row r="112" spans="2:6" x14ac:dyDescent="0.3">
      <c r="B112" s="103" t="s">
        <v>344</v>
      </c>
      <c r="C112" s="104">
        <v>7</v>
      </c>
      <c r="D112" s="105">
        <f t="shared" si="13"/>
        <v>6.9306930693069313E-2</v>
      </c>
      <c r="E112" s="104">
        <v>0</v>
      </c>
      <c r="F112" s="136">
        <f t="shared" si="14"/>
        <v>0</v>
      </c>
    </row>
    <row r="113" spans="2:7" x14ac:dyDescent="0.3">
      <c r="C113" s="401">
        <v>0</v>
      </c>
      <c r="D113" s="401"/>
      <c r="F113" s="235">
        <f>SUM(F107:F112)</f>
        <v>1</v>
      </c>
    </row>
    <row r="114" spans="2:7" x14ac:dyDescent="0.3">
      <c r="C114" s="404">
        <f>D102-C113</f>
        <v>1</v>
      </c>
      <c r="D114" s="404"/>
      <c r="F114" s="97" t="s">
        <v>454</v>
      </c>
    </row>
    <row r="117" spans="2:7" ht="18.600000000000001" thickBot="1" x14ac:dyDescent="0.35">
      <c r="B117" s="76" t="s">
        <v>546</v>
      </c>
      <c r="C117" s="77"/>
      <c r="D117" s="77"/>
      <c r="E117" s="77"/>
      <c r="F117" s="77"/>
    </row>
    <row r="119" spans="2:7" x14ac:dyDescent="0.3">
      <c r="B119" s="408" t="s">
        <v>436</v>
      </c>
      <c r="C119" s="408"/>
      <c r="D119" s="62">
        <f>'Infos zone€'!G11</f>
        <v>2</v>
      </c>
    </row>
    <row r="120" spans="2:7" x14ac:dyDescent="0.3">
      <c r="B120" s="408" t="s">
        <v>330</v>
      </c>
      <c r="C120" s="408"/>
      <c r="D120">
        <v>200</v>
      </c>
    </row>
    <row r="121" spans="2:7" x14ac:dyDescent="0.3">
      <c r="B121" s="405" t="s">
        <v>438</v>
      </c>
      <c r="C121" s="405"/>
      <c r="D121" s="63">
        <f>D120/D119</f>
        <v>100</v>
      </c>
    </row>
    <row r="123" spans="2:7" ht="28.8" x14ac:dyDescent="0.3">
      <c r="B123" s="31" t="s">
        <v>327</v>
      </c>
      <c r="C123" s="32" t="s">
        <v>331</v>
      </c>
      <c r="D123" s="32" t="s">
        <v>439</v>
      </c>
      <c r="E123" s="402">
        <f>C133</f>
        <v>2</v>
      </c>
      <c r="F123" s="403"/>
      <c r="G123" s="67" t="s">
        <v>332</v>
      </c>
    </row>
    <row r="124" spans="2:7" x14ac:dyDescent="0.3">
      <c r="B124" s="84" t="s">
        <v>337</v>
      </c>
      <c r="C124" s="82">
        <v>49</v>
      </c>
      <c r="D124" s="82">
        <f>TRUNC(C124/$D$121)</f>
        <v>0</v>
      </c>
      <c r="E124" s="82">
        <f>C124/(D124+1)</f>
        <v>49</v>
      </c>
      <c r="F124" s="82">
        <f>C124/(D124+1+1)</f>
        <v>24.5</v>
      </c>
      <c r="G124" s="229">
        <v>1</v>
      </c>
    </row>
    <row r="125" spans="2:7" x14ac:dyDescent="0.3">
      <c r="B125" s="211" t="s">
        <v>338</v>
      </c>
      <c r="C125" s="16">
        <v>38</v>
      </c>
      <c r="D125" s="16">
        <f t="shared" ref="D125:D131" si="15">TRUNC(C125/$D$121)</f>
        <v>0</v>
      </c>
      <c r="E125" s="16">
        <f t="shared" ref="E125:E131" si="16">C125/(D125+1)</f>
        <v>38</v>
      </c>
      <c r="F125" s="16">
        <f>E125</f>
        <v>38</v>
      </c>
      <c r="G125" s="230">
        <v>1</v>
      </c>
    </row>
    <row r="126" spans="2:7" x14ac:dyDescent="0.3">
      <c r="B126" s="84" t="s">
        <v>339</v>
      </c>
      <c r="C126" s="82">
        <v>37</v>
      </c>
      <c r="D126" s="82">
        <f t="shared" si="15"/>
        <v>0</v>
      </c>
      <c r="E126" s="82">
        <f t="shared" si="16"/>
        <v>37</v>
      </c>
      <c r="F126" s="82">
        <f t="shared" ref="F126:F131" si="17">E126</f>
        <v>37</v>
      </c>
      <c r="G126" s="231">
        <v>0</v>
      </c>
    </row>
    <row r="127" spans="2:7" x14ac:dyDescent="0.3">
      <c r="B127" s="211" t="s">
        <v>134</v>
      </c>
      <c r="C127" s="16">
        <v>34</v>
      </c>
      <c r="D127" s="16">
        <f t="shared" si="15"/>
        <v>0</v>
      </c>
      <c r="E127" s="16">
        <f t="shared" si="16"/>
        <v>34</v>
      </c>
      <c r="F127" s="16">
        <f t="shared" si="17"/>
        <v>34</v>
      </c>
      <c r="G127" s="232">
        <v>0</v>
      </c>
    </row>
    <row r="128" spans="2:7" x14ac:dyDescent="0.3">
      <c r="B128" s="11" t="s">
        <v>135</v>
      </c>
      <c r="C128" s="82">
        <v>15</v>
      </c>
      <c r="D128" s="82">
        <f t="shared" si="15"/>
        <v>0</v>
      </c>
      <c r="E128" s="82">
        <f t="shared" si="16"/>
        <v>15</v>
      </c>
      <c r="F128" s="82">
        <f t="shared" si="17"/>
        <v>15</v>
      </c>
      <c r="G128" s="233">
        <v>0</v>
      </c>
    </row>
    <row r="129" spans="2:9" x14ac:dyDescent="0.3">
      <c r="B129" s="12" t="s">
        <v>136</v>
      </c>
      <c r="C129" s="16">
        <v>12</v>
      </c>
      <c r="D129" s="16">
        <f t="shared" si="15"/>
        <v>0</v>
      </c>
      <c r="E129" s="16">
        <f t="shared" si="16"/>
        <v>12</v>
      </c>
      <c r="F129" s="16">
        <f t="shared" si="17"/>
        <v>12</v>
      </c>
      <c r="G129" s="232">
        <v>0</v>
      </c>
    </row>
    <row r="130" spans="2:9" x14ac:dyDescent="0.3">
      <c r="B130" s="84" t="s">
        <v>130</v>
      </c>
      <c r="C130" s="82">
        <v>10</v>
      </c>
      <c r="D130" s="82">
        <f t="shared" si="15"/>
        <v>0</v>
      </c>
      <c r="E130" s="82">
        <f t="shared" si="16"/>
        <v>10</v>
      </c>
      <c r="F130" s="82">
        <f t="shared" si="17"/>
        <v>10</v>
      </c>
      <c r="G130" s="233">
        <v>0</v>
      </c>
    </row>
    <row r="131" spans="2:9" x14ac:dyDescent="0.3">
      <c r="B131" s="107" t="s">
        <v>132</v>
      </c>
      <c r="C131" s="104">
        <v>5</v>
      </c>
      <c r="D131" s="104">
        <f t="shared" si="15"/>
        <v>0</v>
      </c>
      <c r="E131" s="104">
        <f t="shared" si="16"/>
        <v>5</v>
      </c>
      <c r="F131" s="104">
        <f t="shared" si="17"/>
        <v>5</v>
      </c>
      <c r="G131" s="136">
        <v>0</v>
      </c>
    </row>
    <row r="132" spans="2:9" x14ac:dyDescent="0.3">
      <c r="C132" s="401">
        <v>0</v>
      </c>
      <c r="D132" s="401"/>
      <c r="F132" s="16"/>
      <c r="G132" s="235">
        <f>SUM(G124:G131)</f>
        <v>2</v>
      </c>
    </row>
    <row r="133" spans="2:9" x14ac:dyDescent="0.3">
      <c r="C133" s="404">
        <f>D119-C132</f>
        <v>2</v>
      </c>
      <c r="D133" s="404"/>
      <c r="F133" s="16"/>
    </row>
    <row r="134" spans="2:9" x14ac:dyDescent="0.3">
      <c r="F134" s="1"/>
    </row>
    <row r="135" spans="2:9" x14ac:dyDescent="0.3">
      <c r="F135" s="1"/>
    </row>
    <row r="136" spans="2:9" ht="18.600000000000001" thickBot="1" x14ac:dyDescent="0.35">
      <c r="B136" s="76" t="s">
        <v>8</v>
      </c>
      <c r="C136" s="77"/>
      <c r="D136" s="77"/>
      <c r="E136" s="77"/>
      <c r="F136" s="77"/>
      <c r="G136" s="77"/>
      <c r="H136" s="77"/>
      <c r="I136" s="77"/>
    </row>
    <row r="138" spans="2:9" x14ac:dyDescent="0.3">
      <c r="B138" s="408" t="s">
        <v>436</v>
      </c>
      <c r="C138" s="408"/>
      <c r="D138" s="62">
        <f>'Infos zone€'!G12</f>
        <v>20</v>
      </c>
    </row>
    <row r="139" spans="2:9" x14ac:dyDescent="0.3">
      <c r="B139" s="408" t="s">
        <v>539</v>
      </c>
      <c r="C139" s="408"/>
      <c r="D139">
        <f>577+348</f>
        <v>925</v>
      </c>
    </row>
    <row r="140" spans="2:9" x14ac:dyDescent="0.3">
      <c r="B140" s="405" t="s">
        <v>438</v>
      </c>
      <c r="C140" s="405"/>
      <c r="D140" s="63">
        <f>D139/D138</f>
        <v>46.25</v>
      </c>
    </row>
    <row r="141" spans="2:9" x14ac:dyDescent="0.3">
      <c r="E141" s="1" t="s">
        <v>547</v>
      </c>
    </row>
    <row r="142" spans="2:9" ht="28.8" x14ac:dyDescent="0.3">
      <c r="B142" s="31" t="s">
        <v>327</v>
      </c>
      <c r="C142" s="32" t="s">
        <v>331</v>
      </c>
      <c r="D142" s="32" t="s">
        <v>439</v>
      </c>
      <c r="E142" s="406">
        <f>C157</f>
        <v>5</v>
      </c>
      <c r="F142" s="406"/>
      <c r="G142" s="406"/>
      <c r="H142" s="407"/>
      <c r="I142" s="67" t="s">
        <v>332</v>
      </c>
    </row>
    <row r="143" spans="2:9" x14ac:dyDescent="0.3">
      <c r="B143" s="240" t="s">
        <v>444</v>
      </c>
      <c r="C143" s="10">
        <v>288</v>
      </c>
      <c r="D143" s="10">
        <f>TRUNC(C143/$D$140)</f>
        <v>6</v>
      </c>
      <c r="E143" s="243">
        <f>C143/(D143+1)</f>
        <v>41.142857142857146</v>
      </c>
      <c r="F143" s="109">
        <f>C143/(D143+1)</f>
        <v>41.142857142857146</v>
      </c>
      <c r="G143" s="122">
        <f>C143/(D143+1+1)</f>
        <v>36</v>
      </c>
      <c r="H143" s="122">
        <f>C143/(D143+1+1)</f>
        <v>36</v>
      </c>
      <c r="I143" s="247">
        <v>8</v>
      </c>
    </row>
    <row r="144" spans="2:9" x14ac:dyDescent="0.3">
      <c r="B144" s="241" t="s">
        <v>443</v>
      </c>
      <c r="C144" s="13">
        <v>199</v>
      </c>
      <c r="D144" s="13">
        <f t="shared" ref="D144:D155" si="18">TRUNC(C144/$D$140)</f>
        <v>4</v>
      </c>
      <c r="E144" s="244">
        <f>C144/(D144+1)</f>
        <v>39.799999999999997</v>
      </c>
      <c r="F144" s="108">
        <f t="shared" ref="F144:F155" si="19">C144/(D144+1)</f>
        <v>39.799999999999997</v>
      </c>
      <c r="G144" s="108">
        <f>C144/(D144+1)</f>
        <v>39.799999999999997</v>
      </c>
      <c r="H144" s="244">
        <f>C144/(D144+1+1)</f>
        <v>33.166666666666664</v>
      </c>
      <c r="I144" s="230">
        <v>5</v>
      </c>
    </row>
    <row r="145" spans="2:9" x14ac:dyDescent="0.3">
      <c r="B145" s="240" t="s">
        <v>140</v>
      </c>
      <c r="C145" s="10">
        <v>27</v>
      </c>
      <c r="D145" s="10">
        <f t="shared" si="18"/>
        <v>0</v>
      </c>
      <c r="E145" s="10">
        <f t="shared" ref="E145:E155" si="20">C145/(D145+1)</f>
        <v>27</v>
      </c>
      <c r="F145" s="68">
        <f t="shared" si="19"/>
        <v>27</v>
      </c>
      <c r="G145" s="68">
        <f>C145/(D145+1)</f>
        <v>27</v>
      </c>
      <c r="H145" s="10">
        <f>C145/(D145+1)</f>
        <v>27</v>
      </c>
      <c r="I145" s="231">
        <v>0</v>
      </c>
    </row>
    <row r="146" spans="2:9" x14ac:dyDescent="0.3">
      <c r="B146" s="241" t="s">
        <v>141</v>
      </c>
      <c r="C146" s="13">
        <v>18</v>
      </c>
      <c r="D146" s="13">
        <f t="shared" si="18"/>
        <v>0</v>
      </c>
      <c r="E146" s="13">
        <f t="shared" si="20"/>
        <v>18</v>
      </c>
      <c r="F146" s="8">
        <f t="shared" si="19"/>
        <v>18</v>
      </c>
      <c r="G146" s="8">
        <f>C146/(D146+1)</f>
        <v>18</v>
      </c>
      <c r="H146" s="13">
        <f>C146/(D146+1)</f>
        <v>18</v>
      </c>
      <c r="I146" s="232">
        <v>0</v>
      </c>
    </row>
    <row r="147" spans="2:9" x14ac:dyDescent="0.3">
      <c r="B147" s="240" t="s">
        <v>142</v>
      </c>
      <c r="C147" s="10">
        <v>15</v>
      </c>
      <c r="D147" s="10">
        <f t="shared" si="18"/>
        <v>0</v>
      </c>
      <c r="E147" s="10">
        <f t="shared" si="20"/>
        <v>15</v>
      </c>
      <c r="F147" s="68">
        <f t="shared" si="19"/>
        <v>15</v>
      </c>
      <c r="G147" s="68">
        <f>C147/(D147+1)</f>
        <v>15</v>
      </c>
      <c r="H147" s="10">
        <f>C147/(D147+1)</f>
        <v>15</v>
      </c>
      <c r="I147" s="233">
        <v>0</v>
      </c>
    </row>
    <row r="148" spans="2:9" ht="31.2" x14ac:dyDescent="0.3">
      <c r="B148" s="242" t="s">
        <v>501</v>
      </c>
      <c r="C148" s="13">
        <v>108</v>
      </c>
      <c r="D148" s="13">
        <f t="shared" si="18"/>
        <v>2</v>
      </c>
      <c r="E148" s="13">
        <f t="shared" ref="E148:E153" si="21">C148/(D148+1)</f>
        <v>36</v>
      </c>
      <c r="F148" s="8">
        <f>C148/(D148+1)</f>
        <v>36</v>
      </c>
      <c r="G148" s="8">
        <f t="shared" ref="G148:G153" si="22">F148</f>
        <v>36</v>
      </c>
      <c r="H148" s="246">
        <f>C148/(D148+1)</f>
        <v>36</v>
      </c>
      <c r="I148" s="232">
        <v>2</v>
      </c>
    </row>
    <row r="149" spans="2:9" x14ac:dyDescent="0.3">
      <c r="B149" s="226" t="s">
        <v>502</v>
      </c>
      <c r="C149" s="10">
        <v>144</v>
      </c>
      <c r="D149" s="10">
        <f t="shared" si="18"/>
        <v>3</v>
      </c>
      <c r="E149" s="68">
        <f t="shared" si="21"/>
        <v>36</v>
      </c>
      <c r="F149" s="10">
        <f>C149/(D149+1)</f>
        <v>36</v>
      </c>
      <c r="G149" s="10">
        <f t="shared" si="22"/>
        <v>36</v>
      </c>
      <c r="H149" s="68">
        <f>C149/(D149+1)</f>
        <v>36</v>
      </c>
      <c r="I149" s="231">
        <v>4</v>
      </c>
    </row>
    <row r="150" spans="2:9" x14ac:dyDescent="0.3">
      <c r="B150" s="242" t="s">
        <v>503</v>
      </c>
      <c r="C150" s="13">
        <v>42</v>
      </c>
      <c r="D150" s="13">
        <f t="shared" si="18"/>
        <v>0</v>
      </c>
      <c r="E150" s="245">
        <f t="shared" si="21"/>
        <v>42</v>
      </c>
      <c r="F150" s="13">
        <f>C150/(D150+1+1)</f>
        <v>21</v>
      </c>
      <c r="G150" s="13">
        <f t="shared" si="22"/>
        <v>21</v>
      </c>
      <c r="H150" s="13">
        <f>C150/(D150+1+1)</f>
        <v>21</v>
      </c>
      <c r="I150" s="232">
        <v>1</v>
      </c>
    </row>
    <row r="151" spans="2:9" ht="31.2" x14ac:dyDescent="0.3">
      <c r="B151" s="226" t="s">
        <v>548</v>
      </c>
      <c r="C151" s="10">
        <v>21</v>
      </c>
      <c r="D151" s="10">
        <f t="shared" si="18"/>
        <v>0</v>
      </c>
      <c r="E151" s="68">
        <f t="shared" si="21"/>
        <v>21</v>
      </c>
      <c r="F151" s="10">
        <f>C151/(D151+1)</f>
        <v>21</v>
      </c>
      <c r="G151" s="10">
        <f t="shared" si="22"/>
        <v>21</v>
      </c>
      <c r="H151" s="68">
        <f>C151/(D151+1)</f>
        <v>21</v>
      </c>
      <c r="I151" s="233">
        <v>0</v>
      </c>
    </row>
    <row r="152" spans="2:9" ht="46.8" x14ac:dyDescent="0.3">
      <c r="B152" s="242" t="s">
        <v>549</v>
      </c>
      <c r="C152" s="13">
        <v>17</v>
      </c>
      <c r="D152" s="13">
        <f t="shared" si="18"/>
        <v>0</v>
      </c>
      <c r="E152" s="13">
        <f t="shared" si="21"/>
        <v>17</v>
      </c>
      <c r="F152" s="13">
        <f>C152/(D152+1)</f>
        <v>17</v>
      </c>
      <c r="G152" s="13">
        <f t="shared" si="22"/>
        <v>17</v>
      </c>
      <c r="H152" s="13">
        <f>C152/(D152+1)</f>
        <v>17</v>
      </c>
      <c r="I152" s="232">
        <v>0</v>
      </c>
    </row>
    <row r="153" spans="2:9" x14ac:dyDescent="0.3">
      <c r="B153" s="226" t="s">
        <v>505</v>
      </c>
      <c r="C153" s="10">
        <v>10</v>
      </c>
      <c r="D153" s="10">
        <f t="shared" si="18"/>
        <v>0</v>
      </c>
      <c r="E153" s="10">
        <f t="shared" si="21"/>
        <v>10</v>
      </c>
      <c r="F153" s="10">
        <f>C153/(D153+1)</f>
        <v>10</v>
      </c>
      <c r="G153" s="10">
        <f t="shared" si="22"/>
        <v>10</v>
      </c>
      <c r="H153" s="10">
        <f>C153/(D153+1)</f>
        <v>10</v>
      </c>
      <c r="I153" s="233">
        <v>0</v>
      </c>
    </row>
    <row r="154" spans="2:9" x14ac:dyDescent="0.3">
      <c r="B154" s="65" t="s">
        <v>550</v>
      </c>
      <c r="C154" s="13">
        <f>25+6</f>
        <v>31</v>
      </c>
      <c r="D154" s="13">
        <f t="shared" si="18"/>
        <v>0</v>
      </c>
      <c r="E154" s="13">
        <f t="shared" ref="E154" si="23">C154/(D154+1)</f>
        <v>31</v>
      </c>
      <c r="F154" s="13">
        <f t="shared" ref="F154" si="24">C154/(D154+1)</f>
        <v>31</v>
      </c>
      <c r="G154" s="13">
        <f>C154/(D154+1)</f>
        <v>31</v>
      </c>
      <c r="H154" s="13">
        <f>C154/(D154+1)</f>
        <v>31</v>
      </c>
      <c r="I154" s="232">
        <v>0</v>
      </c>
    </row>
    <row r="155" spans="2:9" x14ac:dyDescent="0.3">
      <c r="B155" s="99" t="s">
        <v>445</v>
      </c>
      <c r="C155" s="100">
        <v>5</v>
      </c>
      <c r="D155" s="100">
        <f t="shared" si="18"/>
        <v>0</v>
      </c>
      <c r="E155" s="100">
        <f t="shared" si="20"/>
        <v>5</v>
      </c>
      <c r="F155" s="100">
        <f t="shared" si="19"/>
        <v>5</v>
      </c>
      <c r="G155" s="100">
        <f>C155/(D155+1)</f>
        <v>5</v>
      </c>
      <c r="H155" s="100">
        <f>C155/(D155+1)</f>
        <v>5</v>
      </c>
      <c r="I155" s="234">
        <v>0</v>
      </c>
    </row>
    <row r="156" spans="2:9" x14ac:dyDescent="0.3">
      <c r="C156" s="401">
        <f>SUM(D143:D155)</f>
        <v>15</v>
      </c>
      <c r="D156" s="401"/>
      <c r="I156" s="235">
        <f>SUM(I143:I155)</f>
        <v>20</v>
      </c>
    </row>
    <row r="157" spans="2:9" x14ac:dyDescent="0.3">
      <c r="C157" s="404">
        <f>D138-C156</f>
        <v>5</v>
      </c>
      <c r="D157" s="404"/>
      <c r="H157" s="1" t="s">
        <v>551</v>
      </c>
    </row>
    <row r="160" spans="2:9" ht="18.600000000000001" thickBot="1" x14ac:dyDescent="0.35">
      <c r="B160" s="76" t="s">
        <v>552</v>
      </c>
      <c r="C160" s="77"/>
      <c r="D160" s="77"/>
      <c r="E160" s="77"/>
      <c r="F160" s="77"/>
      <c r="G160" s="77"/>
    </row>
    <row r="162" spans="2:7" x14ac:dyDescent="0.3">
      <c r="B162" s="408" t="s">
        <v>436</v>
      </c>
      <c r="C162" s="408"/>
      <c r="D162" s="62">
        <f>'Infos zone€'!G13</f>
        <v>3</v>
      </c>
    </row>
    <row r="163" spans="2:7" x14ac:dyDescent="0.3">
      <c r="B163" s="408" t="s">
        <v>330</v>
      </c>
      <c r="C163" s="408"/>
      <c r="D163">
        <v>300</v>
      </c>
    </row>
    <row r="164" spans="2:7" x14ac:dyDescent="0.3">
      <c r="B164" s="405" t="s">
        <v>438</v>
      </c>
      <c r="C164" s="405"/>
      <c r="D164" s="63">
        <f>D163/D162</f>
        <v>100</v>
      </c>
    </row>
    <row r="166" spans="2:7" ht="28.8" x14ac:dyDescent="0.3">
      <c r="B166" s="31" t="s">
        <v>327</v>
      </c>
      <c r="C166" s="32" t="s">
        <v>331</v>
      </c>
      <c r="D166" s="32" t="s">
        <v>439</v>
      </c>
      <c r="E166" s="406">
        <f>C177</f>
        <v>2</v>
      </c>
      <c r="F166" s="407"/>
      <c r="G166" s="67" t="s">
        <v>332</v>
      </c>
    </row>
    <row r="167" spans="2:7" x14ac:dyDescent="0.3">
      <c r="B167" s="84" t="s">
        <v>155</v>
      </c>
      <c r="C167" s="82">
        <v>144</v>
      </c>
      <c r="D167" s="115">
        <f t="shared" ref="D167:D175" si="25">TRUNC(C167/$D$164)</f>
        <v>1</v>
      </c>
      <c r="E167" s="115">
        <f t="shared" ref="E167:E175" si="26">C167/(D167+1)</f>
        <v>72</v>
      </c>
      <c r="F167" s="115">
        <f>C167/(D167+1)</f>
        <v>72</v>
      </c>
      <c r="G167" s="117">
        <v>2</v>
      </c>
    </row>
    <row r="168" spans="2:7" x14ac:dyDescent="0.3">
      <c r="B168" s="211" t="s">
        <v>157</v>
      </c>
      <c r="C168" s="16">
        <v>76</v>
      </c>
      <c r="D168" s="70">
        <f t="shared" si="25"/>
        <v>0</v>
      </c>
      <c r="E168" s="70">
        <f t="shared" si="26"/>
        <v>76</v>
      </c>
      <c r="F168" s="70">
        <f>C168/(D168+1+1)</f>
        <v>38</v>
      </c>
      <c r="G168" s="118">
        <v>1</v>
      </c>
    </row>
    <row r="169" spans="2:7" x14ac:dyDescent="0.3">
      <c r="B169" s="84" t="s">
        <v>160</v>
      </c>
      <c r="C169" s="82">
        <v>18</v>
      </c>
      <c r="D169" s="115">
        <f t="shared" si="25"/>
        <v>0</v>
      </c>
      <c r="E169" s="115">
        <f t="shared" si="26"/>
        <v>18</v>
      </c>
      <c r="F169" s="115">
        <f t="shared" ref="F169:F175" si="27">C169/(D169+1)</f>
        <v>18</v>
      </c>
      <c r="G169" s="119">
        <v>0</v>
      </c>
    </row>
    <row r="170" spans="2:7" x14ac:dyDescent="0.3">
      <c r="B170" s="211" t="s">
        <v>153</v>
      </c>
      <c r="C170" s="16">
        <v>18</v>
      </c>
      <c r="D170" s="70">
        <f t="shared" si="25"/>
        <v>0</v>
      </c>
      <c r="E170" s="70">
        <f t="shared" si="26"/>
        <v>18</v>
      </c>
      <c r="F170" s="70">
        <f t="shared" si="27"/>
        <v>18</v>
      </c>
      <c r="G170" s="118">
        <v>0</v>
      </c>
    </row>
    <row r="171" spans="2:7" x14ac:dyDescent="0.3">
      <c r="B171" s="11" t="s">
        <v>163</v>
      </c>
      <c r="C171" s="82">
        <v>15</v>
      </c>
      <c r="D171" s="115">
        <f t="shared" si="25"/>
        <v>0</v>
      </c>
      <c r="E171" s="115">
        <f t="shared" si="26"/>
        <v>15</v>
      </c>
      <c r="F171" s="115">
        <f t="shared" si="27"/>
        <v>15</v>
      </c>
      <c r="G171" s="119">
        <v>0</v>
      </c>
    </row>
    <row r="172" spans="2:7" x14ac:dyDescent="0.3">
      <c r="B172" s="12" t="s">
        <v>354</v>
      </c>
      <c r="C172" s="16">
        <v>9</v>
      </c>
      <c r="D172" s="70">
        <f t="shared" si="25"/>
        <v>0</v>
      </c>
      <c r="E172" s="70">
        <f t="shared" si="26"/>
        <v>9</v>
      </c>
      <c r="F172" s="70">
        <f t="shared" si="27"/>
        <v>9</v>
      </c>
      <c r="G172" s="118">
        <v>0</v>
      </c>
    </row>
    <row r="173" spans="2:7" x14ac:dyDescent="0.3">
      <c r="B173" s="84" t="s">
        <v>168</v>
      </c>
      <c r="C173" s="82">
        <v>8</v>
      </c>
      <c r="D173" s="115">
        <f t="shared" si="25"/>
        <v>0</v>
      </c>
      <c r="E173" s="115">
        <f t="shared" si="26"/>
        <v>8</v>
      </c>
      <c r="F173" s="115">
        <f t="shared" si="27"/>
        <v>8</v>
      </c>
      <c r="G173" s="119">
        <v>0</v>
      </c>
    </row>
    <row r="174" spans="2:7" x14ac:dyDescent="0.3">
      <c r="B174" s="211" t="s">
        <v>169</v>
      </c>
      <c r="C174" s="16">
        <v>6</v>
      </c>
      <c r="D174" s="70">
        <f t="shared" si="25"/>
        <v>0</v>
      </c>
      <c r="E174" s="70">
        <f t="shared" si="26"/>
        <v>6</v>
      </c>
      <c r="F174" s="70">
        <f t="shared" si="27"/>
        <v>6</v>
      </c>
      <c r="G174" s="118">
        <v>0</v>
      </c>
    </row>
    <row r="175" spans="2:7" x14ac:dyDescent="0.3">
      <c r="B175" s="98" t="s">
        <v>44</v>
      </c>
      <c r="C175" s="90">
        <v>6</v>
      </c>
      <c r="D175" s="120">
        <f t="shared" si="25"/>
        <v>0</v>
      </c>
      <c r="E175" s="120">
        <f t="shared" si="26"/>
        <v>6</v>
      </c>
      <c r="F175" s="120">
        <f t="shared" si="27"/>
        <v>6</v>
      </c>
      <c r="G175" s="121">
        <v>0</v>
      </c>
    </row>
    <row r="176" spans="2:7" x14ac:dyDescent="0.3">
      <c r="C176" s="401">
        <f>SUM(D167:D175)</f>
        <v>1</v>
      </c>
      <c r="D176" s="401"/>
      <c r="G176" s="122">
        <f>SUM(G167:G175)</f>
        <v>3</v>
      </c>
    </row>
    <row r="177" spans="2:8" x14ac:dyDescent="0.3">
      <c r="C177" s="404">
        <f>D162-C176</f>
        <v>2</v>
      </c>
      <c r="D177" s="404"/>
    </row>
    <row r="180" spans="2:8" ht="18.600000000000001" thickBot="1" x14ac:dyDescent="0.35">
      <c r="B180" s="76" t="s">
        <v>9</v>
      </c>
      <c r="C180" s="77"/>
      <c r="D180" s="77"/>
      <c r="E180" s="77"/>
      <c r="F180" s="77"/>
    </row>
    <row r="182" spans="2:8" x14ac:dyDescent="0.3">
      <c r="B182" s="408" t="s">
        <v>436</v>
      </c>
      <c r="C182" s="408"/>
      <c r="D182" s="62">
        <f>'Infos zone€'!G14</f>
        <v>1</v>
      </c>
    </row>
    <row r="183" spans="2:8" x14ac:dyDescent="0.3">
      <c r="B183" s="408" t="s">
        <v>539</v>
      </c>
      <c r="C183" s="408"/>
      <c r="D183">
        <f>158+60</f>
        <v>218</v>
      </c>
    </row>
    <row r="184" spans="2:8" x14ac:dyDescent="0.3">
      <c r="B184" s="405" t="s">
        <v>438</v>
      </c>
      <c r="C184" s="405"/>
      <c r="D184" s="63">
        <f>D183/D182</f>
        <v>218</v>
      </c>
    </row>
    <row r="186" spans="2:8" ht="57.6" x14ac:dyDescent="0.3">
      <c r="B186" s="31" t="s">
        <v>327</v>
      </c>
      <c r="C186" s="32" t="s">
        <v>554</v>
      </c>
      <c r="D186" s="32" t="s">
        <v>442</v>
      </c>
      <c r="E186" s="212" t="s">
        <v>448</v>
      </c>
      <c r="F186" s="67" t="s">
        <v>332</v>
      </c>
      <c r="H186" s="1"/>
    </row>
    <row r="187" spans="2:8" x14ac:dyDescent="0.3">
      <c r="B187" s="84" t="s">
        <v>355</v>
      </c>
      <c r="C187" s="82">
        <f>50+19</f>
        <v>69</v>
      </c>
      <c r="D187" s="115">
        <f>TRUNC(C187/$D$184)</f>
        <v>0</v>
      </c>
      <c r="E187" s="86">
        <v>1</v>
      </c>
      <c r="F187" s="123">
        <f>E187</f>
        <v>1</v>
      </c>
    </row>
    <row r="188" spans="2:8" x14ac:dyDescent="0.3">
      <c r="B188" s="211" t="s">
        <v>177</v>
      </c>
      <c r="C188" s="16">
        <f>44+14</f>
        <v>58</v>
      </c>
      <c r="D188" s="70">
        <f t="shared" ref="D188:D197" si="28">C188/$D$184</f>
        <v>0.26605504587155965</v>
      </c>
      <c r="E188" s="93">
        <v>0</v>
      </c>
      <c r="F188" s="88">
        <f t="shared" ref="F188:F197" si="29">E188</f>
        <v>0</v>
      </c>
    </row>
    <row r="189" spans="2:8" x14ac:dyDescent="0.3">
      <c r="B189" s="84" t="s">
        <v>178</v>
      </c>
      <c r="C189" s="82">
        <f>23+7</f>
        <v>30</v>
      </c>
      <c r="D189" s="115">
        <f t="shared" si="28"/>
        <v>0.13761467889908258</v>
      </c>
      <c r="E189" s="95">
        <v>0</v>
      </c>
      <c r="F189" s="89">
        <f t="shared" si="29"/>
        <v>0</v>
      </c>
    </row>
    <row r="190" spans="2:8" x14ac:dyDescent="0.3">
      <c r="B190" s="211" t="s">
        <v>186</v>
      </c>
      <c r="C190" s="16">
        <f>7+5</f>
        <v>12</v>
      </c>
      <c r="D190" s="70">
        <f t="shared" si="28"/>
        <v>5.5045871559633031E-2</v>
      </c>
      <c r="E190" s="16">
        <v>0</v>
      </c>
      <c r="F190" s="88">
        <f t="shared" si="29"/>
        <v>0</v>
      </c>
    </row>
    <row r="191" spans="2:8" x14ac:dyDescent="0.3">
      <c r="B191" s="237" t="s">
        <v>183</v>
      </c>
      <c r="C191" s="82">
        <v>6</v>
      </c>
      <c r="D191" s="115">
        <f t="shared" si="28"/>
        <v>2.7522935779816515E-2</v>
      </c>
      <c r="E191" s="82">
        <v>0</v>
      </c>
      <c r="F191" s="89">
        <f t="shared" si="29"/>
        <v>0</v>
      </c>
    </row>
    <row r="192" spans="2:8" x14ac:dyDescent="0.3">
      <c r="B192" s="236" t="s">
        <v>188</v>
      </c>
      <c r="C192" s="16">
        <v>4</v>
      </c>
      <c r="D192" s="70">
        <f t="shared" si="28"/>
        <v>1.834862385321101E-2</v>
      </c>
      <c r="E192" s="93">
        <v>0</v>
      </c>
      <c r="F192" s="88">
        <f t="shared" si="29"/>
        <v>0</v>
      </c>
    </row>
    <row r="193" spans="2:12" x14ac:dyDescent="0.3">
      <c r="B193" s="248" t="s">
        <v>185</v>
      </c>
      <c r="C193" s="82">
        <v>3</v>
      </c>
      <c r="D193" s="115">
        <f t="shared" si="28"/>
        <v>1.3761467889908258E-2</v>
      </c>
      <c r="E193" s="95">
        <v>0</v>
      </c>
      <c r="F193" s="89">
        <f t="shared" si="29"/>
        <v>0</v>
      </c>
    </row>
    <row r="194" spans="2:12" ht="31.2" x14ac:dyDescent="0.3">
      <c r="B194" s="249" t="s">
        <v>553</v>
      </c>
      <c r="C194" s="16">
        <f>2+1</f>
        <v>3</v>
      </c>
      <c r="D194" s="70">
        <f t="shared" si="28"/>
        <v>1.3761467889908258E-2</v>
      </c>
      <c r="E194" s="16">
        <v>0</v>
      </c>
      <c r="F194" s="88">
        <f t="shared" si="29"/>
        <v>0</v>
      </c>
    </row>
    <row r="195" spans="2:12" x14ac:dyDescent="0.3">
      <c r="B195" s="11" t="s">
        <v>44</v>
      </c>
      <c r="C195" s="82">
        <f>11+10</f>
        <v>21</v>
      </c>
      <c r="D195" s="115">
        <f t="shared" si="28"/>
        <v>9.6330275229357804E-2</v>
      </c>
      <c r="E195" s="82">
        <v>0</v>
      </c>
      <c r="F195" s="89">
        <f t="shared" si="29"/>
        <v>0</v>
      </c>
    </row>
    <row r="196" spans="2:12" x14ac:dyDescent="0.3">
      <c r="B196" s="12" t="s">
        <v>555</v>
      </c>
      <c r="C196" s="250">
        <v>4</v>
      </c>
      <c r="D196" s="254"/>
      <c r="E196" s="250"/>
      <c r="F196" s="251"/>
    </row>
    <row r="197" spans="2:12" x14ac:dyDescent="0.3">
      <c r="B197" s="98" t="s">
        <v>180</v>
      </c>
      <c r="C197" s="90">
        <v>8</v>
      </c>
      <c r="D197" s="120">
        <f t="shared" si="28"/>
        <v>3.669724770642202E-2</v>
      </c>
      <c r="E197" s="90">
        <v>0</v>
      </c>
      <c r="F197" s="89">
        <f t="shared" si="29"/>
        <v>0</v>
      </c>
    </row>
    <row r="198" spans="2:12" x14ac:dyDescent="0.3">
      <c r="C198" s="401">
        <v>0</v>
      </c>
      <c r="D198" s="401"/>
      <c r="F198" s="125">
        <f>SUM(F187:F197)</f>
        <v>1</v>
      </c>
    </row>
    <row r="199" spans="2:12" x14ac:dyDescent="0.3">
      <c r="C199" s="404">
        <f>D182-C198</f>
        <v>1</v>
      </c>
      <c r="D199" s="404"/>
      <c r="F199" s="97" t="s">
        <v>454</v>
      </c>
    </row>
    <row r="200" spans="2:12" x14ac:dyDescent="0.3">
      <c r="F200" s="97"/>
    </row>
    <row r="201" spans="2:12" x14ac:dyDescent="0.3">
      <c r="F201" s="97"/>
    </row>
    <row r="202" spans="2:12" ht="18.600000000000001" thickBot="1" x14ac:dyDescent="0.35">
      <c r="B202" s="76" t="s">
        <v>10</v>
      </c>
      <c r="C202" s="77"/>
      <c r="D202" s="77"/>
      <c r="E202" s="77"/>
      <c r="F202" s="77"/>
      <c r="G202" s="77"/>
      <c r="H202" s="77"/>
      <c r="I202" s="77"/>
    </row>
    <row r="204" spans="2:12" x14ac:dyDescent="0.3">
      <c r="B204" s="408" t="s">
        <v>436</v>
      </c>
      <c r="C204" s="408"/>
      <c r="D204" s="62">
        <f>'Infos zone€'!G15</f>
        <v>18</v>
      </c>
    </row>
    <row r="205" spans="2:12" x14ac:dyDescent="0.3">
      <c r="B205" s="408" t="s">
        <v>539</v>
      </c>
      <c r="C205" s="408"/>
      <c r="D205">
        <f>630+320</f>
        <v>950</v>
      </c>
    </row>
    <row r="206" spans="2:12" x14ac:dyDescent="0.3">
      <c r="B206" s="405" t="s">
        <v>438</v>
      </c>
      <c r="C206" s="405"/>
      <c r="D206" s="138">
        <f>D205/D204</f>
        <v>52.777777777777779</v>
      </c>
    </row>
    <row r="208" spans="2:12" ht="57.6" x14ac:dyDescent="0.3">
      <c r="B208" s="31" t="s">
        <v>327</v>
      </c>
      <c r="C208" s="32" t="s">
        <v>538</v>
      </c>
      <c r="D208" s="32" t="s">
        <v>439</v>
      </c>
      <c r="E208" s="402">
        <f>C225</f>
        <v>7</v>
      </c>
      <c r="F208" s="402"/>
      <c r="G208" s="402"/>
      <c r="H208" s="402"/>
      <c r="I208" s="402"/>
      <c r="J208" s="402"/>
      <c r="K208" s="402"/>
      <c r="L208" s="67" t="s">
        <v>332</v>
      </c>
    </row>
    <row r="209" spans="2:12" x14ac:dyDescent="0.3">
      <c r="B209" s="84" t="s">
        <v>193</v>
      </c>
      <c r="C209" s="82">
        <f>285+99</f>
        <v>384</v>
      </c>
      <c r="D209" s="82">
        <f t="shared" ref="D209:D223" si="30">TRUNC(C209/$D$206)</f>
        <v>7</v>
      </c>
      <c r="E209" s="115">
        <f>C209/(D209+1)</f>
        <v>48</v>
      </c>
      <c r="F209" s="115">
        <f>C209/(D209+1)</f>
        <v>48</v>
      </c>
      <c r="G209" s="83">
        <f>C209/(D209+1+1)</f>
        <v>42.666666666666664</v>
      </c>
      <c r="H209" s="83">
        <f>C209/(D209+1+1)</f>
        <v>42.666666666666664</v>
      </c>
      <c r="I209" s="83">
        <f>C209/(D209+1+1+1)</f>
        <v>38.4</v>
      </c>
      <c r="J209" s="83">
        <f>C209/(D209+1+1+1)</f>
        <v>38.4</v>
      </c>
      <c r="K209" s="83">
        <f>C209/(D209+1+1+1+1)</f>
        <v>34.909090909090907</v>
      </c>
      <c r="L209" s="257">
        <v>11</v>
      </c>
    </row>
    <row r="210" spans="2:12" x14ac:dyDescent="0.3">
      <c r="B210" s="211" t="s">
        <v>194</v>
      </c>
      <c r="C210" s="16">
        <f>91+35</f>
        <v>126</v>
      </c>
      <c r="D210" s="16">
        <f t="shared" si="30"/>
        <v>2</v>
      </c>
      <c r="E210" s="70">
        <f t="shared" ref="E210:E222" si="31">C210/(D210+1)</f>
        <v>42</v>
      </c>
      <c r="F210" s="70">
        <f t="shared" ref="F210:F222" si="32">C210/(D210+1)</f>
        <v>42</v>
      </c>
      <c r="G210" s="70">
        <f>C210/(D210+1)</f>
        <v>42</v>
      </c>
      <c r="H210" s="70">
        <f>C210/(D210+1)</f>
        <v>42</v>
      </c>
      <c r="I210" s="70">
        <f>H210</f>
        <v>42</v>
      </c>
      <c r="J210" s="253">
        <f>C210/(D210+1+1)</f>
        <v>31.5</v>
      </c>
      <c r="K210" s="253">
        <f>J210</f>
        <v>31.5</v>
      </c>
      <c r="L210" s="232">
        <v>3</v>
      </c>
    </row>
    <row r="211" spans="2:12" x14ac:dyDescent="0.3">
      <c r="B211" s="84" t="s">
        <v>195</v>
      </c>
      <c r="C211" s="82">
        <f>50+42</f>
        <v>92</v>
      </c>
      <c r="D211" s="82">
        <f t="shared" si="30"/>
        <v>1</v>
      </c>
      <c r="E211" s="82">
        <f t="shared" si="31"/>
        <v>46</v>
      </c>
      <c r="F211" s="82">
        <f t="shared" si="32"/>
        <v>46</v>
      </c>
      <c r="G211" s="82">
        <f>C211/(D211+1)</f>
        <v>46</v>
      </c>
      <c r="H211" s="252">
        <f>C211/(D211+1+1)</f>
        <v>30.666666666666668</v>
      </c>
      <c r="I211" s="252">
        <f t="shared" ref="I211:I222" si="33">H211</f>
        <v>30.666666666666668</v>
      </c>
      <c r="J211" s="252">
        <f>C211/(D211+1+1)</f>
        <v>30.666666666666668</v>
      </c>
      <c r="K211" s="252">
        <f t="shared" ref="K211:K222" si="34">J211</f>
        <v>30.666666666666668</v>
      </c>
      <c r="L211" s="233">
        <v>2</v>
      </c>
    </row>
    <row r="212" spans="2:12" x14ac:dyDescent="0.3">
      <c r="B212" s="211" t="s">
        <v>626</v>
      </c>
      <c r="C212" s="16">
        <f>36+14</f>
        <v>50</v>
      </c>
      <c r="D212" s="16">
        <f t="shared" si="30"/>
        <v>0</v>
      </c>
      <c r="E212" s="16">
        <f>C212/(D212+1)</f>
        <v>50</v>
      </c>
      <c r="F212" s="16">
        <f>C212/(D212+1+1)</f>
        <v>25</v>
      </c>
      <c r="G212" s="16">
        <f>C212/(D212+1+1)</f>
        <v>25</v>
      </c>
      <c r="H212" s="16">
        <f>G212</f>
        <v>25</v>
      </c>
      <c r="I212" s="16">
        <f>H212</f>
        <v>25</v>
      </c>
      <c r="J212" s="16">
        <f>C212/(D212+1+1)</f>
        <v>25</v>
      </c>
      <c r="K212" s="16">
        <f t="shared" si="34"/>
        <v>25</v>
      </c>
      <c r="L212" s="232">
        <v>1</v>
      </c>
    </row>
    <row r="213" spans="2:12" x14ac:dyDescent="0.3">
      <c r="B213" s="237" t="s">
        <v>196</v>
      </c>
      <c r="C213" s="82">
        <v>15</v>
      </c>
      <c r="D213" s="82">
        <f t="shared" si="30"/>
        <v>0</v>
      </c>
      <c r="E213" s="82">
        <f t="shared" si="31"/>
        <v>15</v>
      </c>
      <c r="F213" s="82">
        <f t="shared" si="32"/>
        <v>15</v>
      </c>
      <c r="G213" s="82">
        <f>F213</f>
        <v>15</v>
      </c>
      <c r="H213" s="82">
        <f t="shared" ref="H213:H222" si="35">G213</f>
        <v>15</v>
      </c>
      <c r="I213" s="82">
        <f t="shared" si="33"/>
        <v>15</v>
      </c>
      <c r="J213" s="115">
        <f>C213/(D213+1)</f>
        <v>15</v>
      </c>
      <c r="K213" s="115">
        <f t="shared" si="34"/>
        <v>15</v>
      </c>
      <c r="L213" s="233">
        <v>0</v>
      </c>
    </row>
    <row r="214" spans="2:12" x14ac:dyDescent="0.3">
      <c r="B214" s="211" t="s">
        <v>197</v>
      </c>
      <c r="C214" s="16">
        <f>26+27</f>
        <v>53</v>
      </c>
      <c r="D214" s="16">
        <f t="shared" si="30"/>
        <v>1</v>
      </c>
      <c r="E214" s="16">
        <f t="shared" si="31"/>
        <v>26.5</v>
      </c>
      <c r="F214" s="16">
        <f t="shared" si="32"/>
        <v>26.5</v>
      </c>
      <c r="G214" s="16">
        <f t="shared" ref="G214:G222" si="36">C214/(D214+1)</f>
        <v>26.5</v>
      </c>
      <c r="H214" s="16">
        <f t="shared" si="35"/>
        <v>26.5</v>
      </c>
      <c r="I214" s="16">
        <f>C214/(D214+1)</f>
        <v>26.5</v>
      </c>
      <c r="J214" s="253">
        <f t="shared" ref="J214:J222" si="37">C214/(D214+1)</f>
        <v>26.5</v>
      </c>
      <c r="K214" s="253">
        <f t="shared" si="34"/>
        <v>26.5</v>
      </c>
      <c r="L214" s="232">
        <v>1</v>
      </c>
    </row>
    <row r="215" spans="2:12" x14ac:dyDescent="0.3">
      <c r="B215" s="248" t="s">
        <v>198</v>
      </c>
      <c r="C215" s="82">
        <v>16</v>
      </c>
      <c r="D215" s="82">
        <f t="shared" si="30"/>
        <v>0</v>
      </c>
      <c r="E215" s="82">
        <f t="shared" si="31"/>
        <v>16</v>
      </c>
      <c r="F215" s="82">
        <f t="shared" si="32"/>
        <v>16</v>
      </c>
      <c r="G215" s="82">
        <f t="shared" si="36"/>
        <v>16</v>
      </c>
      <c r="H215" s="82">
        <f t="shared" si="35"/>
        <v>16</v>
      </c>
      <c r="I215" s="82">
        <f t="shared" si="33"/>
        <v>16</v>
      </c>
      <c r="J215" s="115">
        <f t="shared" si="37"/>
        <v>16</v>
      </c>
      <c r="K215" s="115">
        <f t="shared" si="34"/>
        <v>16</v>
      </c>
      <c r="L215" s="233">
        <v>0</v>
      </c>
    </row>
    <row r="216" spans="2:12" x14ac:dyDescent="0.3">
      <c r="B216" s="211" t="s">
        <v>199</v>
      </c>
      <c r="C216" s="16">
        <f>19+12</f>
        <v>31</v>
      </c>
      <c r="D216" s="16">
        <f t="shared" si="30"/>
        <v>0</v>
      </c>
      <c r="E216" s="16">
        <f t="shared" si="31"/>
        <v>31</v>
      </c>
      <c r="F216" s="16">
        <f t="shared" si="32"/>
        <v>31</v>
      </c>
      <c r="G216" s="16">
        <f t="shared" si="36"/>
        <v>31</v>
      </c>
      <c r="H216" s="16">
        <f t="shared" si="35"/>
        <v>31</v>
      </c>
      <c r="I216" s="16">
        <f t="shared" si="33"/>
        <v>31</v>
      </c>
      <c r="J216" s="70">
        <f t="shared" si="37"/>
        <v>31</v>
      </c>
      <c r="K216" s="70">
        <f t="shared" si="34"/>
        <v>31</v>
      </c>
      <c r="L216" s="232">
        <v>0</v>
      </c>
    </row>
    <row r="217" spans="2:12" x14ac:dyDescent="0.3">
      <c r="B217" s="84" t="s">
        <v>203</v>
      </c>
      <c r="C217" s="82">
        <f>16+16</f>
        <v>32</v>
      </c>
      <c r="D217" s="82">
        <f t="shared" si="30"/>
        <v>0</v>
      </c>
      <c r="E217" s="82">
        <f t="shared" si="31"/>
        <v>32</v>
      </c>
      <c r="F217" s="82">
        <f t="shared" si="32"/>
        <v>32</v>
      </c>
      <c r="G217" s="82">
        <f t="shared" si="36"/>
        <v>32</v>
      </c>
      <c r="H217" s="82">
        <f t="shared" si="35"/>
        <v>32</v>
      </c>
      <c r="I217" s="82">
        <f t="shared" si="33"/>
        <v>32</v>
      </c>
      <c r="J217" s="115">
        <f t="shared" si="37"/>
        <v>32</v>
      </c>
      <c r="K217" s="115">
        <f t="shared" si="34"/>
        <v>32</v>
      </c>
      <c r="L217" s="233">
        <v>0</v>
      </c>
    </row>
    <row r="218" spans="2:12" x14ac:dyDescent="0.3">
      <c r="B218" s="236" t="s">
        <v>200</v>
      </c>
      <c r="C218" s="124">
        <v>14</v>
      </c>
      <c r="D218" s="124">
        <f t="shared" si="30"/>
        <v>0</v>
      </c>
      <c r="E218" s="124">
        <f t="shared" si="31"/>
        <v>14</v>
      </c>
      <c r="F218" s="124">
        <f t="shared" si="32"/>
        <v>14</v>
      </c>
      <c r="G218" s="124">
        <f t="shared" si="36"/>
        <v>14</v>
      </c>
      <c r="H218" s="124">
        <f t="shared" si="35"/>
        <v>14</v>
      </c>
      <c r="I218" s="124">
        <f t="shared" si="33"/>
        <v>14</v>
      </c>
      <c r="J218" s="124">
        <f t="shared" si="37"/>
        <v>14</v>
      </c>
      <c r="K218" s="124">
        <f t="shared" si="34"/>
        <v>14</v>
      </c>
      <c r="L218" s="258">
        <v>0</v>
      </c>
    </row>
    <row r="219" spans="2:12" x14ac:dyDescent="0.3">
      <c r="B219" s="237" t="s">
        <v>201</v>
      </c>
      <c r="C219" s="223">
        <v>11</v>
      </c>
      <c r="D219" s="223">
        <f t="shared" si="30"/>
        <v>0</v>
      </c>
      <c r="E219" s="82">
        <f t="shared" si="31"/>
        <v>11</v>
      </c>
      <c r="F219" s="82">
        <f t="shared" si="32"/>
        <v>11</v>
      </c>
      <c r="G219" s="82">
        <f t="shared" si="36"/>
        <v>11</v>
      </c>
      <c r="H219" s="82">
        <f t="shared" si="35"/>
        <v>11</v>
      </c>
      <c r="I219" s="82">
        <f t="shared" si="33"/>
        <v>11</v>
      </c>
      <c r="J219" s="82">
        <f t="shared" si="37"/>
        <v>11</v>
      </c>
      <c r="K219" s="82">
        <f t="shared" si="34"/>
        <v>11</v>
      </c>
      <c r="L219" s="233">
        <v>0</v>
      </c>
    </row>
    <row r="220" spans="2:12" x14ac:dyDescent="0.3">
      <c r="B220" s="292" t="s">
        <v>518</v>
      </c>
      <c r="C220" s="16">
        <v>19</v>
      </c>
      <c r="D220" s="16">
        <f>TRUNC(C220/$D$206)</f>
        <v>0</v>
      </c>
      <c r="E220" s="16">
        <f t="shared" si="31"/>
        <v>19</v>
      </c>
      <c r="F220" s="16">
        <f t="shared" si="32"/>
        <v>19</v>
      </c>
      <c r="G220" s="16">
        <f t="shared" si="36"/>
        <v>19</v>
      </c>
      <c r="H220" s="16">
        <f t="shared" si="35"/>
        <v>19</v>
      </c>
      <c r="I220" s="16">
        <f t="shared" si="33"/>
        <v>19</v>
      </c>
      <c r="J220" s="16">
        <f t="shared" si="37"/>
        <v>19</v>
      </c>
      <c r="K220" s="16">
        <f t="shared" si="34"/>
        <v>19</v>
      </c>
      <c r="L220" s="232">
        <v>0</v>
      </c>
    </row>
    <row r="221" spans="2:12" x14ac:dyDescent="0.3">
      <c r="B221" s="293" t="s">
        <v>520</v>
      </c>
      <c r="C221" s="223">
        <v>14</v>
      </c>
      <c r="D221" s="223">
        <f t="shared" si="30"/>
        <v>0</v>
      </c>
      <c r="E221" s="82">
        <f t="shared" si="31"/>
        <v>14</v>
      </c>
      <c r="F221" s="82">
        <f t="shared" si="32"/>
        <v>14</v>
      </c>
      <c r="G221" s="82">
        <f t="shared" si="36"/>
        <v>14</v>
      </c>
      <c r="H221" s="82">
        <f t="shared" si="35"/>
        <v>14</v>
      </c>
      <c r="I221" s="82">
        <f t="shared" si="33"/>
        <v>14</v>
      </c>
      <c r="J221" s="82">
        <f t="shared" si="37"/>
        <v>14</v>
      </c>
      <c r="K221" s="82">
        <f t="shared" si="34"/>
        <v>14</v>
      </c>
      <c r="L221" s="233">
        <v>0</v>
      </c>
    </row>
    <row r="222" spans="2:12" x14ac:dyDescent="0.3">
      <c r="B222" s="292" t="s">
        <v>523</v>
      </c>
      <c r="C222" s="16">
        <v>9</v>
      </c>
      <c r="D222" s="16">
        <f t="shared" si="30"/>
        <v>0</v>
      </c>
      <c r="E222" s="124">
        <f t="shared" si="31"/>
        <v>9</v>
      </c>
      <c r="F222" s="124">
        <f t="shared" si="32"/>
        <v>9</v>
      </c>
      <c r="G222" s="124">
        <f t="shared" si="36"/>
        <v>9</v>
      </c>
      <c r="H222" s="124">
        <f t="shared" si="35"/>
        <v>9</v>
      </c>
      <c r="I222" s="124">
        <f t="shared" si="33"/>
        <v>9</v>
      </c>
      <c r="J222" s="124">
        <f t="shared" si="37"/>
        <v>9</v>
      </c>
      <c r="K222" s="124">
        <f t="shared" si="34"/>
        <v>9</v>
      </c>
      <c r="L222" s="258">
        <v>0</v>
      </c>
    </row>
    <row r="223" spans="2:12" x14ac:dyDescent="0.3">
      <c r="B223" s="85" t="s">
        <v>109</v>
      </c>
      <c r="C223" s="128">
        <f>51+33</f>
        <v>84</v>
      </c>
      <c r="D223" s="128">
        <f t="shared" si="30"/>
        <v>1</v>
      </c>
      <c r="E223" s="129"/>
      <c r="F223" s="129"/>
      <c r="G223" s="129"/>
      <c r="H223" s="129"/>
      <c r="I223" s="129"/>
      <c r="J223" s="129"/>
      <c r="K223" s="129"/>
      <c r="L223" s="233">
        <v>0</v>
      </c>
    </row>
    <row r="224" spans="2:12" x14ac:dyDescent="0.3">
      <c r="C224" s="401">
        <f>SUM(D209:D219)</f>
        <v>11</v>
      </c>
      <c r="D224" s="401"/>
      <c r="L224" s="259">
        <f>SUM(L209:L223)</f>
        <v>18</v>
      </c>
    </row>
    <row r="225" spans="2:6" x14ac:dyDescent="0.3">
      <c r="C225" s="404">
        <f>D204-C224</f>
        <v>7</v>
      </c>
      <c r="D225" s="404"/>
    </row>
    <row r="228" spans="2:6" ht="18.600000000000001" thickBot="1" x14ac:dyDescent="0.35">
      <c r="B228" s="76" t="s">
        <v>556</v>
      </c>
      <c r="C228" s="77"/>
      <c r="D228" s="77"/>
      <c r="E228" s="77"/>
      <c r="F228" s="77"/>
    </row>
    <row r="230" spans="2:6" x14ac:dyDescent="0.3">
      <c r="B230" s="408" t="s">
        <v>436</v>
      </c>
      <c r="C230" s="408"/>
      <c r="D230" s="62">
        <f>'Infos zone€'!G16</f>
        <v>1</v>
      </c>
    </row>
    <row r="231" spans="2:6" x14ac:dyDescent="0.3">
      <c r="B231" s="408" t="s">
        <v>330</v>
      </c>
      <c r="C231" s="408"/>
      <c r="D231">
        <v>100</v>
      </c>
    </row>
    <row r="232" spans="2:6" x14ac:dyDescent="0.3">
      <c r="B232" s="405" t="s">
        <v>438</v>
      </c>
      <c r="C232" s="405"/>
      <c r="D232" s="63">
        <f>D231/D230</f>
        <v>100</v>
      </c>
    </row>
    <row r="234" spans="2:6" ht="28.8" x14ac:dyDescent="0.3">
      <c r="B234" s="31" t="s">
        <v>327</v>
      </c>
      <c r="C234" s="32" t="s">
        <v>331</v>
      </c>
      <c r="D234" s="32" t="s">
        <v>442</v>
      </c>
      <c r="E234" s="212" t="s">
        <v>448</v>
      </c>
      <c r="F234" s="67" t="s">
        <v>332</v>
      </c>
    </row>
    <row r="235" spans="2:6" x14ac:dyDescent="0.3">
      <c r="B235" s="84" t="s">
        <v>219</v>
      </c>
      <c r="C235" s="82">
        <v>24</v>
      </c>
      <c r="D235" s="83">
        <f t="shared" ref="D235:D241" si="38">C235/$D$232</f>
        <v>0.24</v>
      </c>
      <c r="E235" s="86">
        <v>1</v>
      </c>
      <c r="F235" s="182">
        <f t="shared" ref="F235:F241" si="39">E235</f>
        <v>1</v>
      </c>
    </row>
    <row r="236" spans="2:6" x14ac:dyDescent="0.3">
      <c r="B236" s="211" t="s">
        <v>356</v>
      </c>
      <c r="C236" s="16">
        <v>23</v>
      </c>
      <c r="D236" s="81">
        <f t="shared" si="38"/>
        <v>0.23</v>
      </c>
      <c r="E236" s="93">
        <v>0</v>
      </c>
      <c r="F236" s="94">
        <f t="shared" si="39"/>
        <v>0</v>
      </c>
    </row>
    <row r="237" spans="2:6" x14ac:dyDescent="0.3">
      <c r="B237" s="84" t="s">
        <v>357</v>
      </c>
      <c r="C237" s="82">
        <v>21</v>
      </c>
      <c r="D237" s="83">
        <f t="shared" si="38"/>
        <v>0.21</v>
      </c>
      <c r="E237" s="95">
        <v>0</v>
      </c>
      <c r="F237" s="96">
        <f t="shared" si="39"/>
        <v>0</v>
      </c>
    </row>
    <row r="238" spans="2:6" x14ac:dyDescent="0.3">
      <c r="B238" s="211" t="s">
        <v>358</v>
      </c>
      <c r="C238" s="16">
        <v>17</v>
      </c>
      <c r="D238" s="81">
        <f t="shared" si="38"/>
        <v>0.17</v>
      </c>
      <c r="E238" s="16">
        <v>0</v>
      </c>
      <c r="F238" s="88">
        <f t="shared" si="39"/>
        <v>0</v>
      </c>
    </row>
    <row r="239" spans="2:6" x14ac:dyDescent="0.3">
      <c r="B239" s="84" t="s">
        <v>220</v>
      </c>
      <c r="C239" s="82">
        <v>7</v>
      </c>
      <c r="D239" s="83">
        <f t="shared" si="38"/>
        <v>7.0000000000000007E-2</v>
      </c>
      <c r="E239" s="82">
        <v>0</v>
      </c>
      <c r="F239" s="89">
        <f t="shared" si="39"/>
        <v>0</v>
      </c>
    </row>
    <row r="240" spans="2:6" x14ac:dyDescent="0.3">
      <c r="B240" s="211" t="s">
        <v>221</v>
      </c>
      <c r="C240" s="16">
        <v>7</v>
      </c>
      <c r="D240" s="81">
        <f t="shared" si="38"/>
        <v>7.0000000000000007E-2</v>
      </c>
      <c r="E240" s="124">
        <v>0</v>
      </c>
      <c r="F240" s="88">
        <f t="shared" si="39"/>
        <v>0</v>
      </c>
    </row>
    <row r="241" spans="2:6" x14ac:dyDescent="0.3">
      <c r="B241" s="98" t="s">
        <v>222</v>
      </c>
      <c r="C241" s="90">
        <v>1</v>
      </c>
      <c r="D241" s="92">
        <f t="shared" si="38"/>
        <v>0.01</v>
      </c>
      <c r="E241" s="90">
        <v>0</v>
      </c>
      <c r="F241" s="91">
        <f t="shared" si="39"/>
        <v>0</v>
      </c>
    </row>
    <row r="242" spans="2:6" x14ac:dyDescent="0.3">
      <c r="C242" s="401">
        <v>0</v>
      </c>
      <c r="D242" s="401"/>
      <c r="F242" s="75">
        <f>SUM(F235:F240)</f>
        <v>1</v>
      </c>
    </row>
    <row r="243" spans="2:6" x14ac:dyDescent="0.3">
      <c r="C243" s="404">
        <f>D230-C242</f>
        <v>1</v>
      </c>
      <c r="D243" s="404"/>
      <c r="F243" s="97" t="s">
        <v>454</v>
      </c>
    </row>
    <row r="244" spans="2:6" x14ac:dyDescent="0.3">
      <c r="C244" s="131"/>
      <c r="D244" s="131"/>
      <c r="E244" s="12"/>
    </row>
    <row r="245" spans="2:6" x14ac:dyDescent="0.3">
      <c r="C245" s="131"/>
      <c r="D245" s="131"/>
      <c r="E245" s="12"/>
    </row>
    <row r="246" spans="2:6" ht="18.600000000000001" thickBot="1" x14ac:dyDescent="0.35">
      <c r="B246" s="76" t="s">
        <v>557</v>
      </c>
      <c r="C246" s="77"/>
      <c r="D246" s="77"/>
      <c r="E246" s="77"/>
      <c r="F246" s="77"/>
    </row>
    <row r="248" spans="2:6" x14ac:dyDescent="0.3">
      <c r="B248" s="408" t="s">
        <v>436</v>
      </c>
      <c r="C248" s="408"/>
      <c r="D248">
        <v>1</v>
      </c>
    </row>
    <row r="249" spans="2:6" x14ac:dyDescent="0.3">
      <c r="B249" s="408" t="s">
        <v>330</v>
      </c>
      <c r="C249" s="408"/>
      <c r="D249">
        <v>139</v>
      </c>
    </row>
    <row r="250" spans="2:6" x14ac:dyDescent="0.3">
      <c r="B250" s="405" t="s">
        <v>438</v>
      </c>
      <c r="C250" s="405"/>
      <c r="D250" s="63">
        <f>D249/D248</f>
        <v>139</v>
      </c>
    </row>
    <row r="252" spans="2:6" ht="28.8" x14ac:dyDescent="0.3">
      <c r="B252" s="31" t="s">
        <v>327</v>
      </c>
      <c r="C252" s="32" t="s">
        <v>331</v>
      </c>
      <c r="D252" s="32" t="s">
        <v>442</v>
      </c>
      <c r="E252" s="212" t="s">
        <v>448</v>
      </c>
      <c r="F252" s="67" t="s">
        <v>332</v>
      </c>
    </row>
    <row r="253" spans="2:6" x14ac:dyDescent="0.3">
      <c r="B253" s="84" t="s">
        <v>359</v>
      </c>
      <c r="C253" s="82">
        <v>56</v>
      </c>
      <c r="D253" s="83">
        <f t="shared" ref="D253:D259" si="40">C253/$D$250</f>
        <v>0.40287769784172661</v>
      </c>
      <c r="E253" s="86">
        <v>1</v>
      </c>
      <c r="F253" s="182">
        <f t="shared" ref="F253:F258" si="41">E253</f>
        <v>1</v>
      </c>
    </row>
    <row r="254" spans="2:6" x14ac:dyDescent="0.3">
      <c r="B254" s="211" t="s">
        <v>233</v>
      </c>
      <c r="C254" s="16">
        <v>31</v>
      </c>
      <c r="D254" s="132">
        <f t="shared" si="40"/>
        <v>0.22302158273381295</v>
      </c>
      <c r="E254" s="93">
        <v>0</v>
      </c>
      <c r="F254" s="94">
        <f t="shared" si="41"/>
        <v>0</v>
      </c>
    </row>
    <row r="255" spans="2:6" x14ac:dyDescent="0.3">
      <c r="B255" s="84" t="s">
        <v>360</v>
      </c>
      <c r="C255" s="82">
        <v>19</v>
      </c>
      <c r="D255" s="83">
        <f t="shared" si="40"/>
        <v>0.1366906474820144</v>
      </c>
      <c r="E255" s="95">
        <v>0</v>
      </c>
      <c r="F255" s="96">
        <f t="shared" si="41"/>
        <v>0</v>
      </c>
    </row>
    <row r="256" spans="2:6" x14ac:dyDescent="0.3">
      <c r="B256" s="211" t="s">
        <v>237</v>
      </c>
      <c r="C256" s="16">
        <v>14</v>
      </c>
      <c r="D256" s="132">
        <f t="shared" si="40"/>
        <v>0.10071942446043165</v>
      </c>
      <c r="E256" s="16">
        <v>0</v>
      </c>
      <c r="F256" s="88">
        <f t="shared" si="41"/>
        <v>0</v>
      </c>
    </row>
    <row r="257" spans="2:6" x14ac:dyDescent="0.3">
      <c r="B257" s="84" t="s">
        <v>239</v>
      </c>
      <c r="C257" s="82">
        <v>8</v>
      </c>
      <c r="D257" s="83">
        <f t="shared" si="40"/>
        <v>5.7553956834532377E-2</v>
      </c>
      <c r="E257" s="82">
        <v>0</v>
      </c>
      <c r="F257" s="89">
        <f t="shared" si="41"/>
        <v>0</v>
      </c>
    </row>
    <row r="258" spans="2:6" x14ac:dyDescent="0.3">
      <c r="B258" s="211" t="s">
        <v>241</v>
      </c>
      <c r="C258" s="16">
        <v>8</v>
      </c>
      <c r="D258" s="132">
        <f t="shared" si="40"/>
        <v>5.7553956834532377E-2</v>
      </c>
      <c r="E258" s="124">
        <v>0</v>
      </c>
      <c r="F258" s="88">
        <f t="shared" si="41"/>
        <v>0</v>
      </c>
    </row>
    <row r="259" spans="2:6" x14ac:dyDescent="0.3">
      <c r="B259" s="98" t="s">
        <v>243</v>
      </c>
      <c r="C259" s="90">
        <v>3</v>
      </c>
      <c r="D259" s="92">
        <f t="shared" si="40"/>
        <v>2.1582733812949641E-2</v>
      </c>
      <c r="E259" s="90">
        <v>0</v>
      </c>
      <c r="F259" s="91">
        <v>0</v>
      </c>
    </row>
    <row r="260" spans="2:6" x14ac:dyDescent="0.3">
      <c r="C260" s="401">
        <v>0</v>
      </c>
      <c r="D260" s="401"/>
      <c r="F260" s="75">
        <f>SUM(F253:F258)</f>
        <v>1</v>
      </c>
    </row>
    <row r="261" spans="2:6" x14ac:dyDescent="0.3">
      <c r="C261" s="404">
        <f>D248-C260</f>
        <v>1</v>
      </c>
      <c r="D261" s="404"/>
      <c r="F261" s="97" t="s">
        <v>454</v>
      </c>
    </row>
    <row r="264" spans="2:6" ht="18.600000000000001" thickBot="1" x14ac:dyDescent="0.35">
      <c r="B264" s="76" t="s">
        <v>558</v>
      </c>
      <c r="C264" s="77"/>
      <c r="D264" s="77"/>
      <c r="E264" s="77"/>
      <c r="F264" s="77"/>
    </row>
    <row r="266" spans="2:6" x14ac:dyDescent="0.3">
      <c r="B266" s="408" t="s">
        <v>436</v>
      </c>
      <c r="C266" s="408"/>
      <c r="D266">
        <v>1</v>
      </c>
    </row>
    <row r="267" spans="2:6" x14ac:dyDescent="0.3">
      <c r="B267" s="408" t="s">
        <v>330</v>
      </c>
      <c r="C267" s="408"/>
      <c r="D267">
        <v>60</v>
      </c>
    </row>
    <row r="268" spans="2:6" x14ac:dyDescent="0.3">
      <c r="B268" s="405" t="s">
        <v>438</v>
      </c>
      <c r="C268" s="405"/>
      <c r="D268" s="63">
        <f>D267/D266</f>
        <v>60</v>
      </c>
    </row>
    <row r="270" spans="2:6" ht="28.8" x14ac:dyDescent="0.3">
      <c r="B270" s="31" t="s">
        <v>327</v>
      </c>
      <c r="C270" s="32" t="s">
        <v>331</v>
      </c>
      <c r="D270" s="32" t="s">
        <v>442</v>
      </c>
      <c r="E270" s="212" t="s">
        <v>448</v>
      </c>
      <c r="F270" s="67" t="s">
        <v>332</v>
      </c>
    </row>
    <row r="271" spans="2:6" x14ac:dyDescent="0.3">
      <c r="B271" s="84" t="s">
        <v>246</v>
      </c>
      <c r="C271" s="82">
        <v>23</v>
      </c>
      <c r="D271" s="83">
        <f t="shared" ref="D271:D276" si="42">C271/$D$268</f>
        <v>0.38333333333333336</v>
      </c>
      <c r="E271" s="86">
        <v>1</v>
      </c>
      <c r="F271" s="182">
        <f t="shared" ref="F271:F276" si="43">E271</f>
        <v>1</v>
      </c>
    </row>
    <row r="272" spans="2:6" x14ac:dyDescent="0.3">
      <c r="B272" s="211" t="s">
        <v>361</v>
      </c>
      <c r="C272" s="16">
        <v>13</v>
      </c>
      <c r="D272" s="132">
        <f t="shared" si="42"/>
        <v>0.21666666666666667</v>
      </c>
      <c r="E272" s="93">
        <v>0</v>
      </c>
      <c r="F272" s="94">
        <f t="shared" si="43"/>
        <v>0</v>
      </c>
    </row>
    <row r="273" spans="2:6" x14ac:dyDescent="0.3">
      <c r="B273" s="84" t="s">
        <v>362</v>
      </c>
      <c r="C273" s="82">
        <v>13</v>
      </c>
      <c r="D273" s="83">
        <f t="shared" si="42"/>
        <v>0.21666666666666667</v>
      </c>
      <c r="E273" s="95">
        <v>0</v>
      </c>
      <c r="F273" s="96">
        <f t="shared" si="43"/>
        <v>0</v>
      </c>
    </row>
    <row r="274" spans="2:6" x14ac:dyDescent="0.3">
      <c r="B274" s="211" t="s">
        <v>363</v>
      </c>
      <c r="C274" s="16">
        <v>6</v>
      </c>
      <c r="D274" s="132">
        <f t="shared" si="42"/>
        <v>0.1</v>
      </c>
      <c r="E274" s="16">
        <v>0</v>
      </c>
      <c r="F274" s="88">
        <f t="shared" si="43"/>
        <v>0</v>
      </c>
    </row>
    <row r="275" spans="2:6" x14ac:dyDescent="0.3">
      <c r="B275" s="84" t="s">
        <v>247</v>
      </c>
      <c r="C275" s="82">
        <v>3</v>
      </c>
      <c r="D275" s="83">
        <f t="shared" si="42"/>
        <v>0.05</v>
      </c>
      <c r="E275" s="82">
        <v>0</v>
      </c>
      <c r="F275" s="89">
        <f t="shared" si="43"/>
        <v>0</v>
      </c>
    </row>
    <row r="276" spans="2:6" x14ac:dyDescent="0.3">
      <c r="B276" s="107" t="s">
        <v>248</v>
      </c>
      <c r="C276" s="104">
        <v>2</v>
      </c>
      <c r="D276" s="133">
        <f t="shared" si="42"/>
        <v>3.3333333333333333E-2</v>
      </c>
      <c r="E276" s="104">
        <v>0</v>
      </c>
      <c r="F276" s="106">
        <f t="shared" si="43"/>
        <v>0</v>
      </c>
    </row>
    <row r="277" spans="2:6" x14ac:dyDescent="0.3">
      <c r="C277" s="401">
        <v>0</v>
      </c>
      <c r="D277" s="401"/>
      <c r="F277" s="75">
        <f>SUM(F270:F275)</f>
        <v>1</v>
      </c>
    </row>
    <row r="278" spans="2:6" x14ac:dyDescent="0.3">
      <c r="C278" s="404">
        <f>D266-C277</f>
        <v>1</v>
      </c>
      <c r="D278" s="404"/>
      <c r="F278" s="97" t="s">
        <v>454</v>
      </c>
    </row>
    <row r="279" spans="2:6" x14ac:dyDescent="0.3">
      <c r="F279" s="97"/>
    </row>
    <row r="280" spans="2:6" x14ac:dyDescent="0.3">
      <c r="F280" s="97"/>
    </row>
    <row r="281" spans="2:6" ht="18.600000000000001" thickBot="1" x14ac:dyDescent="0.35">
      <c r="B281" s="76" t="s">
        <v>559</v>
      </c>
      <c r="C281" s="77"/>
      <c r="D281" s="77"/>
      <c r="E281" s="77"/>
      <c r="F281" s="77"/>
    </row>
    <row r="283" spans="2:6" x14ac:dyDescent="0.3">
      <c r="B283" s="408" t="s">
        <v>436</v>
      </c>
      <c r="C283" s="408"/>
      <c r="D283">
        <v>1</v>
      </c>
    </row>
    <row r="284" spans="2:6" x14ac:dyDescent="0.3">
      <c r="B284" s="408" t="s">
        <v>330</v>
      </c>
      <c r="C284" s="408"/>
      <c r="D284">
        <v>71</v>
      </c>
    </row>
    <row r="285" spans="2:6" x14ac:dyDescent="0.3">
      <c r="B285" s="405" t="s">
        <v>438</v>
      </c>
      <c r="C285" s="405"/>
      <c r="D285" s="63">
        <f>D284/D283</f>
        <v>71</v>
      </c>
    </row>
    <row r="287" spans="2:6" ht="28.8" x14ac:dyDescent="0.3">
      <c r="B287" s="31" t="s">
        <v>327</v>
      </c>
      <c r="C287" s="32" t="s">
        <v>331</v>
      </c>
      <c r="D287" s="32" t="s">
        <v>442</v>
      </c>
      <c r="E287" s="212" t="s">
        <v>448</v>
      </c>
      <c r="F287" s="67" t="s">
        <v>332</v>
      </c>
    </row>
    <row r="288" spans="2:6" x14ac:dyDescent="0.3">
      <c r="B288" s="84" t="s">
        <v>364</v>
      </c>
      <c r="C288" s="82">
        <v>38</v>
      </c>
      <c r="D288" s="83">
        <f>C288/$D$285</f>
        <v>0.53521126760563376</v>
      </c>
      <c r="E288" s="86">
        <v>1</v>
      </c>
      <c r="F288" s="182">
        <f t="shared" ref="F288:F290" si="44">E288</f>
        <v>1</v>
      </c>
    </row>
    <row r="289" spans="2:9" x14ac:dyDescent="0.3">
      <c r="B289" s="211" t="s">
        <v>259</v>
      </c>
      <c r="C289" s="16">
        <v>31</v>
      </c>
      <c r="D289" s="132">
        <f>C289/$D$285</f>
        <v>0.43661971830985913</v>
      </c>
      <c r="E289" s="93">
        <v>0</v>
      </c>
      <c r="F289" s="94">
        <f t="shared" si="44"/>
        <v>0</v>
      </c>
    </row>
    <row r="290" spans="2:9" x14ac:dyDescent="0.3">
      <c r="B290" s="98" t="s">
        <v>44</v>
      </c>
      <c r="C290" s="90">
        <v>2</v>
      </c>
      <c r="D290" s="92">
        <f>C290/$D$285</f>
        <v>2.8169014084507043E-2</v>
      </c>
      <c r="E290" s="134">
        <v>0</v>
      </c>
      <c r="F290" s="135">
        <f t="shared" si="44"/>
        <v>0</v>
      </c>
    </row>
    <row r="291" spans="2:9" x14ac:dyDescent="0.3">
      <c r="C291" s="401">
        <v>0</v>
      </c>
      <c r="D291" s="401"/>
      <c r="F291" s="75">
        <f>SUM(F284:F289)</f>
        <v>1</v>
      </c>
    </row>
    <row r="292" spans="2:9" x14ac:dyDescent="0.3">
      <c r="C292" s="404">
        <f>D283-C291</f>
        <v>1</v>
      </c>
      <c r="D292" s="404"/>
      <c r="F292" s="97" t="s">
        <v>454</v>
      </c>
    </row>
    <row r="293" spans="2:9" x14ac:dyDescent="0.3">
      <c r="F293" s="97"/>
    </row>
    <row r="294" spans="2:9" x14ac:dyDescent="0.3">
      <c r="F294" s="97"/>
    </row>
    <row r="295" spans="2:9" ht="18.600000000000001" thickBot="1" x14ac:dyDescent="0.35">
      <c r="B295" s="76" t="s">
        <v>365</v>
      </c>
      <c r="C295" s="77"/>
      <c r="D295" s="77"/>
      <c r="E295" s="77"/>
      <c r="F295" s="77"/>
      <c r="G295" s="77"/>
      <c r="H295" s="77"/>
    </row>
    <row r="297" spans="2:9" x14ac:dyDescent="0.3">
      <c r="B297" s="408" t="s">
        <v>436</v>
      </c>
      <c r="C297" s="408"/>
      <c r="D297" s="62">
        <v>5</v>
      </c>
    </row>
    <row r="298" spans="2:9" x14ac:dyDescent="0.3">
      <c r="B298" s="408" t="s">
        <v>539</v>
      </c>
      <c r="C298" s="408"/>
      <c r="D298">
        <f>150+75</f>
        <v>225</v>
      </c>
    </row>
    <row r="299" spans="2:9" x14ac:dyDescent="0.3">
      <c r="B299" s="405" t="s">
        <v>438</v>
      </c>
      <c r="C299" s="405"/>
      <c r="D299" s="63">
        <f>D298/D297</f>
        <v>45</v>
      </c>
    </row>
    <row r="301" spans="2:9" ht="28.8" x14ac:dyDescent="0.3">
      <c r="B301" s="31" t="s">
        <v>327</v>
      </c>
      <c r="C301" s="32" t="s">
        <v>331</v>
      </c>
      <c r="D301" s="32" t="s">
        <v>439</v>
      </c>
      <c r="E301" s="402">
        <f>C315</f>
        <v>4</v>
      </c>
      <c r="F301" s="402"/>
      <c r="G301" s="402"/>
      <c r="H301" s="403"/>
      <c r="I301" s="67" t="s">
        <v>332</v>
      </c>
    </row>
    <row r="302" spans="2:9" x14ac:dyDescent="0.3">
      <c r="B302" s="84" t="s">
        <v>366</v>
      </c>
      <c r="C302" s="82">
        <f>40+13</f>
        <v>53</v>
      </c>
      <c r="D302" s="115">
        <f t="shared" ref="D302:D313" si="45">TRUNC(C302/$D$299)</f>
        <v>1</v>
      </c>
      <c r="E302" s="252">
        <f t="shared" ref="E302:E313" si="46">C302/(D302+1)</f>
        <v>26.5</v>
      </c>
      <c r="F302" s="252">
        <f>C302/(D302+1)</f>
        <v>26.5</v>
      </c>
      <c r="G302" s="83">
        <f>C302/(D302+1+1)</f>
        <v>17.666666666666668</v>
      </c>
      <c r="H302" s="83">
        <f>C302/(D302+1+1)</f>
        <v>17.666666666666668</v>
      </c>
      <c r="I302" s="117">
        <v>2</v>
      </c>
    </row>
    <row r="303" spans="2:9" x14ac:dyDescent="0.3">
      <c r="B303" s="211" t="s">
        <v>367</v>
      </c>
      <c r="C303" s="16">
        <f>35+8</f>
        <v>43</v>
      </c>
      <c r="D303" s="70">
        <f t="shared" si="45"/>
        <v>0</v>
      </c>
      <c r="E303" s="70">
        <f t="shared" si="46"/>
        <v>43</v>
      </c>
      <c r="F303" s="253">
        <f>C303/(D303+1+1)</f>
        <v>21.5</v>
      </c>
      <c r="G303" s="253">
        <f>C303/(D303+1+1)</f>
        <v>21.5</v>
      </c>
      <c r="H303" s="253">
        <f>G303</f>
        <v>21.5</v>
      </c>
      <c r="I303" s="118">
        <v>1</v>
      </c>
    </row>
    <row r="304" spans="2:9" x14ac:dyDescent="0.3">
      <c r="B304" s="84" t="s">
        <v>264</v>
      </c>
      <c r="C304" s="82">
        <f>9+15</f>
        <v>24</v>
      </c>
      <c r="D304" s="115">
        <f t="shared" si="45"/>
        <v>0</v>
      </c>
      <c r="E304" s="115">
        <f t="shared" si="46"/>
        <v>24</v>
      </c>
      <c r="F304" s="115">
        <f t="shared" ref="F304:G313" si="47">E304</f>
        <v>24</v>
      </c>
      <c r="G304" s="115">
        <f>F304</f>
        <v>24</v>
      </c>
      <c r="H304" s="115">
        <f>G304</f>
        <v>24</v>
      </c>
      <c r="I304" s="119">
        <v>1</v>
      </c>
    </row>
    <row r="305" spans="2:9" x14ac:dyDescent="0.3">
      <c r="B305" s="211" t="s">
        <v>265</v>
      </c>
      <c r="C305" s="16">
        <f>13+12</f>
        <v>25</v>
      </c>
      <c r="D305" s="70">
        <f t="shared" si="45"/>
        <v>0</v>
      </c>
      <c r="E305" s="70">
        <f t="shared" si="46"/>
        <v>25</v>
      </c>
      <c r="F305" s="70">
        <f t="shared" si="47"/>
        <v>25</v>
      </c>
      <c r="G305" s="70">
        <f t="shared" si="47"/>
        <v>25</v>
      </c>
      <c r="H305" s="70">
        <f>C305/(D305+1+1)</f>
        <v>12.5</v>
      </c>
      <c r="I305" s="118">
        <v>1</v>
      </c>
    </row>
    <row r="306" spans="2:9" x14ac:dyDescent="0.3">
      <c r="B306" s="11" t="s">
        <v>266</v>
      </c>
      <c r="C306" s="82">
        <f>12+9</f>
        <v>21</v>
      </c>
      <c r="D306" s="115">
        <f t="shared" si="45"/>
        <v>0</v>
      </c>
      <c r="E306" s="115">
        <f t="shared" si="46"/>
        <v>21</v>
      </c>
      <c r="F306" s="115">
        <f t="shared" si="47"/>
        <v>21</v>
      </c>
      <c r="G306" s="115">
        <f t="shared" si="47"/>
        <v>21</v>
      </c>
      <c r="H306" s="115">
        <f t="shared" ref="H306:H313" si="48">G306</f>
        <v>21</v>
      </c>
      <c r="I306" s="119">
        <v>0</v>
      </c>
    </row>
    <row r="307" spans="2:9" x14ac:dyDescent="0.3">
      <c r="B307" s="12" t="s">
        <v>267</v>
      </c>
      <c r="C307" s="16">
        <f>12+10</f>
        <v>22</v>
      </c>
      <c r="D307" s="70">
        <f t="shared" si="45"/>
        <v>0</v>
      </c>
      <c r="E307" s="70">
        <f t="shared" si="46"/>
        <v>22</v>
      </c>
      <c r="F307" s="70">
        <f t="shared" si="47"/>
        <v>22</v>
      </c>
      <c r="G307" s="70">
        <f t="shared" si="47"/>
        <v>22</v>
      </c>
      <c r="H307" s="70">
        <f t="shared" si="48"/>
        <v>22</v>
      </c>
      <c r="I307" s="118">
        <v>0</v>
      </c>
    </row>
    <row r="308" spans="2:9" x14ac:dyDescent="0.3">
      <c r="B308" s="84" t="s">
        <v>268</v>
      </c>
      <c r="C308" s="82">
        <f>5+3</f>
        <v>8</v>
      </c>
      <c r="D308" s="115">
        <f t="shared" si="45"/>
        <v>0</v>
      </c>
      <c r="E308" s="115">
        <f t="shared" si="46"/>
        <v>8</v>
      </c>
      <c r="F308" s="115">
        <f t="shared" si="47"/>
        <v>8</v>
      </c>
      <c r="G308" s="115">
        <f t="shared" si="47"/>
        <v>8</v>
      </c>
      <c r="H308" s="115">
        <f t="shared" si="48"/>
        <v>8</v>
      </c>
      <c r="I308" s="119">
        <v>0</v>
      </c>
    </row>
    <row r="309" spans="2:9" x14ac:dyDescent="0.3">
      <c r="B309" s="211" t="s">
        <v>269</v>
      </c>
      <c r="C309" s="16">
        <f>4+4</f>
        <v>8</v>
      </c>
      <c r="D309" s="70">
        <f t="shared" si="45"/>
        <v>0</v>
      </c>
      <c r="E309" s="70">
        <f t="shared" si="46"/>
        <v>8</v>
      </c>
      <c r="F309" s="70">
        <f t="shared" si="47"/>
        <v>8</v>
      </c>
      <c r="G309" s="70">
        <f t="shared" si="47"/>
        <v>8</v>
      </c>
      <c r="H309" s="70">
        <f t="shared" si="48"/>
        <v>8</v>
      </c>
      <c r="I309" s="118">
        <v>0</v>
      </c>
    </row>
    <row r="310" spans="2:9" x14ac:dyDescent="0.3">
      <c r="B310" s="84" t="s">
        <v>270</v>
      </c>
      <c r="C310" s="82">
        <f>3+2</f>
        <v>5</v>
      </c>
      <c r="D310" s="115">
        <f t="shared" si="45"/>
        <v>0</v>
      </c>
      <c r="E310" s="115">
        <f t="shared" si="46"/>
        <v>5</v>
      </c>
      <c r="F310" s="115">
        <f t="shared" si="47"/>
        <v>5</v>
      </c>
      <c r="G310" s="115">
        <f t="shared" si="47"/>
        <v>5</v>
      </c>
      <c r="H310" s="115">
        <f t="shared" si="48"/>
        <v>5</v>
      </c>
      <c r="I310" s="119">
        <v>0</v>
      </c>
    </row>
    <row r="311" spans="2:9" x14ac:dyDescent="0.3">
      <c r="B311" s="211" t="s">
        <v>271</v>
      </c>
      <c r="C311" s="16">
        <f>2+2</f>
        <v>4</v>
      </c>
      <c r="D311" s="70">
        <f t="shared" si="45"/>
        <v>0</v>
      </c>
      <c r="E311" s="70">
        <f t="shared" si="46"/>
        <v>4</v>
      </c>
      <c r="F311" s="70">
        <f t="shared" si="47"/>
        <v>4</v>
      </c>
      <c r="G311" s="70">
        <f t="shared" si="47"/>
        <v>4</v>
      </c>
      <c r="H311" s="70">
        <f t="shared" si="48"/>
        <v>4</v>
      </c>
      <c r="I311" s="118">
        <v>0</v>
      </c>
    </row>
    <row r="312" spans="2:9" x14ac:dyDescent="0.3">
      <c r="B312" s="84" t="s">
        <v>272</v>
      </c>
      <c r="C312" s="82">
        <f>1+2</f>
        <v>3</v>
      </c>
      <c r="D312" s="115">
        <f t="shared" si="45"/>
        <v>0</v>
      </c>
      <c r="E312" s="115">
        <f t="shared" si="46"/>
        <v>3</v>
      </c>
      <c r="F312" s="115">
        <f t="shared" si="47"/>
        <v>3</v>
      </c>
      <c r="G312" s="115">
        <f t="shared" si="47"/>
        <v>3</v>
      </c>
      <c r="H312" s="115">
        <f t="shared" si="48"/>
        <v>3</v>
      </c>
      <c r="I312" s="119">
        <v>0</v>
      </c>
    </row>
    <row r="313" spans="2:9" x14ac:dyDescent="0.3">
      <c r="B313" s="107" t="s">
        <v>44</v>
      </c>
      <c r="C313" s="104">
        <f>8+1</f>
        <v>9</v>
      </c>
      <c r="D313" s="126">
        <f t="shared" si="45"/>
        <v>0</v>
      </c>
      <c r="E313" s="126">
        <f t="shared" si="46"/>
        <v>9</v>
      </c>
      <c r="F313" s="126">
        <f t="shared" si="47"/>
        <v>9</v>
      </c>
      <c r="G313" s="126">
        <f t="shared" si="47"/>
        <v>9</v>
      </c>
      <c r="H313" s="126">
        <f t="shared" si="48"/>
        <v>9</v>
      </c>
      <c r="I313" s="136">
        <v>0</v>
      </c>
    </row>
    <row r="314" spans="2:9" x14ac:dyDescent="0.3">
      <c r="C314" s="401">
        <f>SUM(D302:D313)</f>
        <v>1</v>
      </c>
      <c r="D314" s="401"/>
      <c r="I314" s="137">
        <f>SUM(I302:I313)</f>
        <v>5</v>
      </c>
    </row>
    <row r="315" spans="2:9" x14ac:dyDescent="0.3">
      <c r="C315" s="404">
        <f>D297-C314</f>
        <v>4</v>
      </c>
      <c r="D315" s="404"/>
    </row>
    <row r="318" spans="2:9" ht="18.600000000000001" thickBot="1" x14ac:dyDescent="0.35">
      <c r="B318" s="76" t="s">
        <v>560</v>
      </c>
      <c r="C318" s="77"/>
      <c r="D318" s="77"/>
      <c r="E318" s="77"/>
      <c r="F318" s="77"/>
    </row>
    <row r="320" spans="2:9" x14ac:dyDescent="0.3">
      <c r="B320" s="408" t="s">
        <v>436</v>
      </c>
      <c r="C320" s="408"/>
      <c r="D320" s="62">
        <f>'Infos zone€'!G21</f>
        <v>3</v>
      </c>
    </row>
    <row r="321" spans="2:6" x14ac:dyDescent="0.3">
      <c r="B321" s="408" t="s">
        <v>330</v>
      </c>
      <c r="C321" s="408"/>
      <c r="D321">
        <v>230</v>
      </c>
    </row>
    <row r="322" spans="2:6" x14ac:dyDescent="0.3">
      <c r="B322" s="405" t="s">
        <v>438</v>
      </c>
      <c r="C322" s="405"/>
      <c r="D322" s="138">
        <f>D321/D320</f>
        <v>76.666666666666671</v>
      </c>
    </row>
    <row r="324" spans="2:6" ht="28.8" x14ac:dyDescent="0.3">
      <c r="B324" s="31" t="s">
        <v>327</v>
      </c>
      <c r="C324" s="32" t="s">
        <v>331</v>
      </c>
      <c r="D324" s="32" t="s">
        <v>439</v>
      </c>
      <c r="E324" s="212" t="s">
        <v>448</v>
      </c>
      <c r="F324" s="67" t="s">
        <v>332</v>
      </c>
    </row>
    <row r="325" spans="2:6" x14ac:dyDescent="0.3">
      <c r="B325" s="84" t="s">
        <v>287</v>
      </c>
      <c r="C325" s="82">
        <v>89</v>
      </c>
      <c r="D325" s="115">
        <f t="shared" ref="D325:D331" si="49">TRUNC(C325/$D$322)</f>
        <v>1</v>
      </c>
      <c r="E325" s="83">
        <f t="shared" ref="E325:E331" si="50">C325/(D325+1)</f>
        <v>44.5</v>
      </c>
      <c r="F325" s="182">
        <v>2</v>
      </c>
    </row>
    <row r="326" spans="2:6" x14ac:dyDescent="0.3">
      <c r="B326" s="211" t="s">
        <v>368</v>
      </c>
      <c r="C326" s="16">
        <v>86</v>
      </c>
      <c r="D326" s="70">
        <f t="shared" si="49"/>
        <v>1</v>
      </c>
      <c r="E326" s="70">
        <f t="shared" si="50"/>
        <v>43</v>
      </c>
      <c r="F326" s="94">
        <v>1</v>
      </c>
    </row>
    <row r="327" spans="2:6" x14ac:dyDescent="0.3">
      <c r="B327" s="84" t="s">
        <v>369</v>
      </c>
      <c r="C327" s="82">
        <v>19</v>
      </c>
      <c r="D327" s="115">
        <f t="shared" si="49"/>
        <v>0</v>
      </c>
      <c r="E327" s="115">
        <f t="shared" si="50"/>
        <v>19</v>
      </c>
      <c r="F327" s="96">
        <v>0</v>
      </c>
    </row>
    <row r="328" spans="2:6" x14ac:dyDescent="0.3">
      <c r="B328" s="211" t="s">
        <v>288</v>
      </c>
      <c r="C328" s="16">
        <v>18</v>
      </c>
      <c r="D328" s="70">
        <f t="shared" si="49"/>
        <v>0</v>
      </c>
      <c r="E328" s="70">
        <f t="shared" si="50"/>
        <v>18</v>
      </c>
      <c r="F328" s="88">
        <v>0</v>
      </c>
    </row>
    <row r="329" spans="2:6" x14ac:dyDescent="0.3">
      <c r="B329" s="11" t="s">
        <v>370</v>
      </c>
      <c r="C329" s="82">
        <v>15</v>
      </c>
      <c r="D329" s="115">
        <f t="shared" si="49"/>
        <v>0</v>
      </c>
      <c r="E329" s="115">
        <f t="shared" si="50"/>
        <v>15</v>
      </c>
      <c r="F329" s="89">
        <v>0</v>
      </c>
    </row>
    <row r="330" spans="2:6" x14ac:dyDescent="0.3">
      <c r="B330" s="12" t="s">
        <v>371</v>
      </c>
      <c r="C330" s="16">
        <v>2</v>
      </c>
      <c r="D330" s="70">
        <f t="shared" si="49"/>
        <v>0</v>
      </c>
      <c r="E330" s="70">
        <f t="shared" si="50"/>
        <v>2</v>
      </c>
      <c r="F330" s="88">
        <v>0</v>
      </c>
    </row>
    <row r="331" spans="2:6" x14ac:dyDescent="0.3">
      <c r="B331" s="98" t="s">
        <v>289</v>
      </c>
      <c r="C331" s="90">
        <v>1</v>
      </c>
      <c r="D331" s="120">
        <f t="shared" si="49"/>
        <v>0</v>
      </c>
      <c r="E331" s="120">
        <f t="shared" si="50"/>
        <v>1</v>
      </c>
      <c r="F331" s="91">
        <v>0</v>
      </c>
    </row>
    <row r="332" spans="2:6" x14ac:dyDescent="0.3">
      <c r="C332" s="401">
        <f>SUM(D325:D331)</f>
        <v>2</v>
      </c>
      <c r="D332" s="401"/>
      <c r="F332" s="82">
        <f>SUM(F325:F331)</f>
        <v>3</v>
      </c>
    </row>
    <row r="333" spans="2:6" x14ac:dyDescent="0.3">
      <c r="C333" s="404">
        <f>D320-C332</f>
        <v>1</v>
      </c>
      <c r="D333" s="404"/>
    </row>
    <row r="334" spans="2:6" x14ac:dyDescent="0.3">
      <c r="C334" s="131"/>
      <c r="D334" s="131"/>
    </row>
    <row r="335" spans="2:6" x14ac:dyDescent="0.3">
      <c r="C335" s="131"/>
      <c r="D335" s="131"/>
    </row>
    <row r="336" spans="2:6" ht="18.600000000000001" thickBot="1" x14ac:dyDescent="0.35">
      <c r="B336" s="76" t="s">
        <v>561</v>
      </c>
      <c r="C336" s="77"/>
      <c r="D336" s="77"/>
      <c r="E336" s="77"/>
      <c r="F336" s="77"/>
    </row>
    <row r="338" spans="2:7" x14ac:dyDescent="0.3">
      <c r="B338" s="408" t="s">
        <v>436</v>
      </c>
      <c r="C338" s="408"/>
      <c r="D338" s="62">
        <f>'Infos zone€'!G22</f>
        <v>2</v>
      </c>
    </row>
    <row r="339" spans="2:7" x14ac:dyDescent="0.3">
      <c r="B339" s="408" t="s">
        <v>330</v>
      </c>
      <c r="C339" s="408"/>
      <c r="D339">
        <v>150</v>
      </c>
    </row>
    <row r="340" spans="2:7" x14ac:dyDescent="0.3">
      <c r="B340" s="405" t="s">
        <v>438</v>
      </c>
      <c r="C340" s="405"/>
      <c r="D340" s="63">
        <f>D339/D338</f>
        <v>75</v>
      </c>
    </row>
    <row r="342" spans="2:7" ht="28.8" x14ac:dyDescent="0.3">
      <c r="B342" s="31" t="s">
        <v>327</v>
      </c>
      <c r="C342" s="32" t="s">
        <v>331</v>
      </c>
      <c r="D342" s="32" t="s">
        <v>439</v>
      </c>
      <c r="E342" s="406">
        <f>C352</f>
        <v>2</v>
      </c>
      <c r="F342" s="407"/>
      <c r="G342" s="67" t="s">
        <v>332</v>
      </c>
    </row>
    <row r="343" spans="2:7" x14ac:dyDescent="0.3">
      <c r="B343" s="169" t="s">
        <v>372</v>
      </c>
      <c r="C343" s="10">
        <v>49</v>
      </c>
      <c r="D343" s="10">
        <f t="shared" ref="D343:D350" si="51">TRUNC(C343/$D$340)</f>
        <v>0</v>
      </c>
      <c r="E343" s="68">
        <f t="shared" ref="E343:E350" si="52">C343/(D343+1)</f>
        <v>49</v>
      </c>
      <c r="F343" s="68">
        <f>C343/(D343+1+1)</f>
        <v>24.5</v>
      </c>
      <c r="G343" s="72">
        <v>2</v>
      </c>
    </row>
    <row r="344" spans="2:7" x14ac:dyDescent="0.3">
      <c r="B344" s="170" t="s">
        <v>297</v>
      </c>
      <c r="C344" s="13">
        <v>21</v>
      </c>
      <c r="D344" s="13">
        <f t="shared" si="51"/>
        <v>0</v>
      </c>
      <c r="E344" s="141">
        <f t="shared" si="52"/>
        <v>21</v>
      </c>
      <c r="F344" s="141">
        <f t="shared" ref="F344:F350" si="53">C344/(D344+1)</f>
        <v>21</v>
      </c>
      <c r="G344" s="73">
        <v>0</v>
      </c>
    </row>
    <row r="345" spans="2:7" x14ac:dyDescent="0.3">
      <c r="B345" s="169" t="s">
        <v>298</v>
      </c>
      <c r="C345" s="10">
        <v>19</v>
      </c>
      <c r="D345" s="10">
        <f t="shared" si="51"/>
        <v>0</v>
      </c>
      <c r="E345" s="122">
        <f t="shared" si="52"/>
        <v>19</v>
      </c>
      <c r="F345" s="122">
        <f t="shared" si="53"/>
        <v>19</v>
      </c>
      <c r="G345" s="72">
        <v>0</v>
      </c>
    </row>
    <row r="346" spans="2:7" x14ac:dyDescent="0.3">
      <c r="B346" s="170" t="s">
        <v>373</v>
      </c>
      <c r="C346" s="13">
        <v>15</v>
      </c>
      <c r="D346" s="13">
        <f t="shared" si="51"/>
        <v>0</v>
      </c>
      <c r="E346" s="71">
        <f t="shared" si="52"/>
        <v>15</v>
      </c>
      <c r="F346" s="71">
        <f t="shared" si="53"/>
        <v>15</v>
      </c>
      <c r="G346" s="73">
        <v>0</v>
      </c>
    </row>
    <row r="347" spans="2:7" x14ac:dyDescent="0.3">
      <c r="B347" s="169" t="s">
        <v>299</v>
      </c>
      <c r="C347" s="10">
        <v>14</v>
      </c>
      <c r="D347" s="10">
        <f t="shared" si="51"/>
        <v>0</v>
      </c>
      <c r="E347" s="68">
        <f t="shared" si="52"/>
        <v>14</v>
      </c>
      <c r="F347" s="68">
        <f t="shared" si="53"/>
        <v>14</v>
      </c>
      <c r="G347" s="72">
        <v>0</v>
      </c>
    </row>
    <row r="348" spans="2:7" x14ac:dyDescent="0.3">
      <c r="B348" s="170" t="s">
        <v>374</v>
      </c>
      <c r="C348" s="13">
        <v>11</v>
      </c>
      <c r="D348" s="13">
        <f t="shared" si="51"/>
        <v>0</v>
      </c>
      <c r="E348" s="71">
        <f t="shared" si="52"/>
        <v>11</v>
      </c>
      <c r="F348" s="71">
        <f t="shared" si="53"/>
        <v>11</v>
      </c>
      <c r="G348" s="73">
        <v>0</v>
      </c>
    </row>
    <row r="349" spans="2:7" x14ac:dyDescent="0.3">
      <c r="B349" s="169" t="s">
        <v>300</v>
      </c>
      <c r="C349" s="10">
        <v>11</v>
      </c>
      <c r="D349" s="10">
        <f t="shared" si="51"/>
        <v>0</v>
      </c>
      <c r="E349" s="139">
        <f t="shared" si="52"/>
        <v>11</v>
      </c>
      <c r="F349" s="139">
        <f t="shared" si="53"/>
        <v>11</v>
      </c>
      <c r="G349" s="72">
        <v>0</v>
      </c>
    </row>
    <row r="350" spans="2:7" x14ac:dyDescent="0.3">
      <c r="B350" s="171" t="s">
        <v>375</v>
      </c>
      <c r="C350" s="64">
        <v>10</v>
      </c>
      <c r="D350" s="64">
        <f t="shared" si="51"/>
        <v>0</v>
      </c>
      <c r="E350" s="140">
        <f t="shared" si="52"/>
        <v>10</v>
      </c>
      <c r="F350" s="140">
        <f t="shared" si="53"/>
        <v>10</v>
      </c>
      <c r="G350" s="74">
        <v>0</v>
      </c>
    </row>
    <row r="351" spans="2:7" x14ac:dyDescent="0.3">
      <c r="C351" s="401">
        <f>SUM(D344:D350)</f>
        <v>0</v>
      </c>
      <c r="D351" s="401"/>
      <c r="G351" s="75">
        <f>SUM(G343:G350)</f>
        <v>2</v>
      </c>
    </row>
    <row r="352" spans="2:7" x14ac:dyDescent="0.3">
      <c r="C352" s="404">
        <f>D338-C351</f>
        <v>2</v>
      </c>
      <c r="D352" s="404"/>
    </row>
    <row r="355" spans="2:6" ht="18.600000000000001" thickBot="1" x14ac:dyDescent="0.35">
      <c r="B355" s="76" t="s">
        <v>562</v>
      </c>
      <c r="C355" s="77"/>
      <c r="D355" s="77"/>
      <c r="E355" s="77"/>
      <c r="F355" s="77"/>
    </row>
    <row r="357" spans="2:6" x14ac:dyDescent="0.3">
      <c r="B357" s="408" t="s">
        <v>436</v>
      </c>
      <c r="C357" s="408"/>
      <c r="D357" s="62">
        <f>'Infos zone€'!G23</f>
        <v>1</v>
      </c>
    </row>
    <row r="358" spans="2:6" x14ac:dyDescent="0.3">
      <c r="B358" s="408" t="s">
        <v>330</v>
      </c>
      <c r="C358" s="408"/>
      <c r="D358">
        <v>90</v>
      </c>
    </row>
    <row r="359" spans="2:6" x14ac:dyDescent="0.3">
      <c r="B359" s="405" t="s">
        <v>438</v>
      </c>
      <c r="C359" s="405"/>
      <c r="D359" s="63">
        <f>D358/D357</f>
        <v>90</v>
      </c>
    </row>
    <row r="361" spans="2:6" ht="28.8" x14ac:dyDescent="0.3">
      <c r="B361" s="31" t="s">
        <v>327</v>
      </c>
      <c r="C361" s="32" t="s">
        <v>331</v>
      </c>
      <c r="D361" s="32" t="s">
        <v>439</v>
      </c>
      <c r="E361" s="212" t="s">
        <v>448</v>
      </c>
      <c r="F361" s="67" t="s">
        <v>332</v>
      </c>
    </row>
    <row r="362" spans="2:6" x14ac:dyDescent="0.3">
      <c r="B362" s="84" t="s">
        <v>376</v>
      </c>
      <c r="C362" s="82">
        <v>36</v>
      </c>
      <c r="D362" s="115">
        <v>1</v>
      </c>
      <c r="E362" s="86">
        <v>1</v>
      </c>
      <c r="F362" s="229">
        <v>1</v>
      </c>
    </row>
    <row r="363" spans="2:6" x14ac:dyDescent="0.3">
      <c r="B363" s="211" t="s">
        <v>311</v>
      </c>
      <c r="C363" s="16">
        <v>21</v>
      </c>
      <c r="D363" s="70">
        <v>0</v>
      </c>
      <c r="E363" s="93">
        <v>0</v>
      </c>
      <c r="F363" s="230">
        <v>0</v>
      </c>
    </row>
    <row r="364" spans="2:6" x14ac:dyDescent="0.3">
      <c r="B364" s="84" t="s">
        <v>377</v>
      </c>
      <c r="C364" s="82">
        <v>10</v>
      </c>
      <c r="D364" s="115">
        <v>0</v>
      </c>
      <c r="E364" s="95">
        <v>0</v>
      </c>
      <c r="F364" s="231">
        <v>0</v>
      </c>
    </row>
    <row r="365" spans="2:6" x14ac:dyDescent="0.3">
      <c r="B365" s="211" t="s">
        <v>378</v>
      </c>
      <c r="C365" s="16">
        <v>6</v>
      </c>
      <c r="D365" s="70">
        <v>0</v>
      </c>
      <c r="E365" s="16">
        <v>0</v>
      </c>
      <c r="F365" s="232">
        <v>0</v>
      </c>
    </row>
    <row r="366" spans="2:6" x14ac:dyDescent="0.3">
      <c r="B366" s="11" t="s">
        <v>312</v>
      </c>
      <c r="C366" s="82">
        <v>6</v>
      </c>
      <c r="D366" s="115">
        <v>0</v>
      </c>
      <c r="E366" s="82">
        <v>0</v>
      </c>
      <c r="F366" s="233">
        <v>0</v>
      </c>
    </row>
    <row r="367" spans="2:6" x14ac:dyDescent="0.3">
      <c r="B367" s="211" t="s">
        <v>313</v>
      </c>
      <c r="C367" s="16">
        <v>5</v>
      </c>
      <c r="D367" s="70">
        <v>0</v>
      </c>
      <c r="E367" s="16">
        <v>0</v>
      </c>
      <c r="F367" s="232">
        <v>0</v>
      </c>
    </row>
    <row r="368" spans="2:6" x14ac:dyDescent="0.3">
      <c r="B368" s="11" t="s">
        <v>322</v>
      </c>
      <c r="C368" s="82">
        <v>4</v>
      </c>
      <c r="D368" s="115">
        <v>0</v>
      </c>
      <c r="E368" s="82">
        <v>0</v>
      </c>
      <c r="F368" s="233">
        <v>0</v>
      </c>
    </row>
    <row r="369" spans="2:6" x14ac:dyDescent="0.3">
      <c r="B369" s="107" t="s">
        <v>314</v>
      </c>
      <c r="C369" s="104">
        <v>2</v>
      </c>
      <c r="D369" s="126">
        <v>0</v>
      </c>
      <c r="E369" s="104">
        <v>0</v>
      </c>
      <c r="F369" s="136">
        <v>0</v>
      </c>
    </row>
    <row r="370" spans="2:6" x14ac:dyDescent="0.3">
      <c r="C370" s="401">
        <v>0</v>
      </c>
      <c r="D370" s="401"/>
      <c r="F370" s="235">
        <f>SUM(F362:F369)</f>
        <v>1</v>
      </c>
    </row>
    <row r="371" spans="2:6" x14ac:dyDescent="0.3">
      <c r="C371" s="404">
        <f>D357-C370</f>
        <v>1</v>
      </c>
      <c r="D371" s="404"/>
      <c r="F371" s="97" t="s">
        <v>454</v>
      </c>
    </row>
  </sheetData>
  <mergeCells count="106">
    <mergeCell ref="B358:C358"/>
    <mergeCell ref="B359:C359"/>
    <mergeCell ref="C370:D370"/>
    <mergeCell ref="C371:D371"/>
    <mergeCell ref="E28:F28"/>
    <mergeCell ref="E88:G88"/>
    <mergeCell ref="E142:H142"/>
    <mergeCell ref="E208:K208"/>
    <mergeCell ref="E301:H301"/>
    <mergeCell ref="B339:C339"/>
    <mergeCell ref="B340:C340"/>
    <mergeCell ref="E342:F342"/>
    <mergeCell ref="C351:D351"/>
    <mergeCell ref="C352:D352"/>
    <mergeCell ref="B357:C357"/>
    <mergeCell ref="B320:C320"/>
    <mergeCell ref="B321:C321"/>
    <mergeCell ref="B322:C322"/>
    <mergeCell ref="C332:D332"/>
    <mergeCell ref="C333:D333"/>
    <mergeCell ref="B338:C338"/>
    <mergeCell ref="B297:C297"/>
    <mergeCell ref="B298:C298"/>
    <mergeCell ref="B299:C299"/>
    <mergeCell ref="C314:D314"/>
    <mergeCell ref="C315:D315"/>
    <mergeCell ref="A1:G1"/>
    <mergeCell ref="C278:D278"/>
    <mergeCell ref="B283:C283"/>
    <mergeCell ref="B284:C284"/>
    <mergeCell ref="B285:C285"/>
    <mergeCell ref="C291:D291"/>
    <mergeCell ref="C292:D292"/>
    <mergeCell ref="C260:D260"/>
    <mergeCell ref="C261:D261"/>
    <mergeCell ref="B266:C266"/>
    <mergeCell ref="B267:C267"/>
    <mergeCell ref="B268:C268"/>
    <mergeCell ref="C277:D277"/>
    <mergeCell ref="B232:C232"/>
    <mergeCell ref="C242:D242"/>
    <mergeCell ref="C243:D243"/>
    <mergeCell ref="B248:C248"/>
    <mergeCell ref="B249:C249"/>
    <mergeCell ref="B250:C250"/>
    <mergeCell ref="B206:C206"/>
    <mergeCell ref="C224:D224"/>
    <mergeCell ref="C225:D225"/>
    <mergeCell ref="B230:C230"/>
    <mergeCell ref="B231:C231"/>
    <mergeCell ref="B183:C183"/>
    <mergeCell ref="B184:C184"/>
    <mergeCell ref="C198:D198"/>
    <mergeCell ref="C199:D199"/>
    <mergeCell ref="B204:C204"/>
    <mergeCell ref="B205:C205"/>
    <mergeCell ref="B163:C163"/>
    <mergeCell ref="B164:C164"/>
    <mergeCell ref="E166:F166"/>
    <mergeCell ref="C176:D176"/>
    <mergeCell ref="C177:D177"/>
    <mergeCell ref="B182:C182"/>
    <mergeCell ref="B139:C139"/>
    <mergeCell ref="B140:C140"/>
    <mergeCell ref="C156:D156"/>
    <mergeCell ref="C157:D157"/>
    <mergeCell ref="B162:C162"/>
    <mergeCell ref="B120:C120"/>
    <mergeCell ref="B121:C121"/>
    <mergeCell ref="E123:F123"/>
    <mergeCell ref="C132:D132"/>
    <mergeCell ref="C133:D133"/>
    <mergeCell ref="B138:C138"/>
    <mergeCell ref="B102:C102"/>
    <mergeCell ref="B103:C103"/>
    <mergeCell ref="B104:C104"/>
    <mergeCell ref="C113:D113"/>
    <mergeCell ref="C114:D114"/>
    <mergeCell ref="B119:C119"/>
    <mergeCell ref="B86:C86"/>
    <mergeCell ref="C96:D96"/>
    <mergeCell ref="C97:D97"/>
    <mergeCell ref="C61:D61"/>
    <mergeCell ref="B66:C66"/>
    <mergeCell ref="B67:C67"/>
    <mergeCell ref="B68:C68"/>
    <mergeCell ref="C78:D78"/>
    <mergeCell ref="C79:D79"/>
    <mergeCell ref="E46:G46"/>
    <mergeCell ref="C60:D60"/>
    <mergeCell ref="C19:D19"/>
    <mergeCell ref="B24:C24"/>
    <mergeCell ref="B25:C25"/>
    <mergeCell ref="B26:C26"/>
    <mergeCell ref="C36:D36"/>
    <mergeCell ref="B84:C84"/>
    <mergeCell ref="B85:C85"/>
    <mergeCell ref="B7:C7"/>
    <mergeCell ref="B8:C8"/>
    <mergeCell ref="B9:C9"/>
    <mergeCell ref="E11:F11"/>
    <mergeCell ref="C18:D18"/>
    <mergeCell ref="C37:D37"/>
    <mergeCell ref="B42:C42"/>
    <mergeCell ref="B43:C43"/>
    <mergeCell ref="B44:C44"/>
  </mergeCells>
  <phoneticPr fontId="25" type="noConversion"/>
  <conditionalFormatting sqref="E12:E14 E16:E17">
    <cfRule type="top10" dxfId="37" priority="107" rank="1"/>
  </conditionalFormatting>
  <conditionalFormatting sqref="F12:F14 F16:F17">
    <cfRule type="top10" dxfId="36" priority="106" rank="1"/>
  </conditionalFormatting>
  <conditionalFormatting sqref="E89:E95">
    <cfRule type="top10" dxfId="35" priority="105" rank="1"/>
  </conditionalFormatting>
  <conditionalFormatting sqref="F89:F95">
    <cfRule type="top10" dxfId="34" priority="104" rank="1"/>
  </conditionalFormatting>
  <conditionalFormatting sqref="F143:F148">
    <cfRule type="top10" dxfId="33" priority="102" rank="1"/>
  </conditionalFormatting>
  <conditionalFormatting sqref="G143:G148">
    <cfRule type="top10" dxfId="32" priority="101" rank="1"/>
  </conditionalFormatting>
  <conditionalFormatting sqref="E167:E175">
    <cfRule type="top10" dxfId="31" priority="99" rank="1"/>
  </conditionalFormatting>
  <conditionalFormatting sqref="F167:F175">
    <cfRule type="top10" dxfId="30" priority="98" rank="1"/>
  </conditionalFormatting>
  <conditionalFormatting sqref="E209:E210">
    <cfRule type="top10" priority="97" rank="1"/>
  </conditionalFormatting>
  <conditionalFormatting sqref="E209:E222">
    <cfRule type="top10" dxfId="29" priority="96" rank="1"/>
  </conditionalFormatting>
  <conditionalFormatting sqref="F209:F210">
    <cfRule type="top10" priority="95" rank="1"/>
  </conditionalFormatting>
  <conditionalFormatting sqref="F209:F222">
    <cfRule type="top10" dxfId="28" priority="94" rank="1"/>
  </conditionalFormatting>
  <conditionalFormatting sqref="G209:G210">
    <cfRule type="top10" priority="93" rank="1"/>
  </conditionalFormatting>
  <conditionalFormatting sqref="G209:G222">
    <cfRule type="top10" dxfId="27" priority="92" rank="1"/>
  </conditionalFormatting>
  <conditionalFormatting sqref="H209:H210">
    <cfRule type="top10" priority="91" rank="1"/>
  </conditionalFormatting>
  <conditionalFormatting sqref="H209:H222">
    <cfRule type="top10" dxfId="26" priority="90" rank="1"/>
  </conditionalFormatting>
  <conditionalFormatting sqref="I209:I210">
    <cfRule type="top10" priority="89" rank="1"/>
  </conditionalFormatting>
  <conditionalFormatting sqref="I209:I222">
    <cfRule type="top10" dxfId="25" priority="88" rank="1"/>
  </conditionalFormatting>
  <conditionalFormatting sqref="E302:E313">
    <cfRule type="top10" dxfId="24" priority="85" rank="1"/>
  </conditionalFormatting>
  <conditionalFormatting sqref="F302:F313">
    <cfRule type="top10" dxfId="23" priority="84" rank="1"/>
  </conditionalFormatting>
  <conditionalFormatting sqref="G302:G313">
    <cfRule type="top10" dxfId="22" priority="83" rank="1"/>
  </conditionalFormatting>
  <conditionalFormatting sqref="E343:E350">
    <cfRule type="top10" dxfId="21" priority="82" rank="1"/>
  </conditionalFormatting>
  <conditionalFormatting sqref="F343:F350">
    <cfRule type="top10" dxfId="20" priority="81" rank="1"/>
  </conditionalFormatting>
  <conditionalFormatting sqref="E29:E35">
    <cfRule type="top10" dxfId="19" priority="80" rank="1"/>
  </conditionalFormatting>
  <conditionalFormatting sqref="F29:F35">
    <cfRule type="top10" dxfId="18" priority="79" rank="1"/>
  </conditionalFormatting>
  <conditionalFormatting sqref="E47:E59">
    <cfRule type="top10" dxfId="17" priority="77" rank="1"/>
  </conditionalFormatting>
  <conditionalFormatting sqref="F47:F59">
    <cfRule type="top10" dxfId="16" priority="76" rank="1"/>
  </conditionalFormatting>
  <conditionalFormatting sqref="G47:G59">
    <cfRule type="top10" dxfId="15" priority="75" rank="1"/>
  </conditionalFormatting>
  <conditionalFormatting sqref="E124:E131">
    <cfRule type="top10" dxfId="14" priority="74" rank="1"/>
  </conditionalFormatting>
  <conditionalFormatting sqref="F124:F131">
    <cfRule type="top10" dxfId="13" priority="73" rank="1"/>
  </conditionalFormatting>
  <conditionalFormatting sqref="E325:E331">
    <cfRule type="top10" dxfId="12" priority="72" rank="1"/>
  </conditionalFormatting>
  <conditionalFormatting sqref="G89:G95">
    <cfRule type="top10" dxfId="11" priority="63" rank="1"/>
  </conditionalFormatting>
  <conditionalFormatting sqref="E149:E151">
    <cfRule type="top10" dxfId="10" priority="54" rank="1"/>
  </conditionalFormatting>
  <conditionalFormatting sqref="H149 H151">
    <cfRule type="top10" dxfId="9" priority="51" rank="1"/>
  </conditionalFormatting>
  <conditionalFormatting sqref="H143">
    <cfRule type="top10" dxfId="8" priority="34" rank="1"/>
  </conditionalFormatting>
  <conditionalFormatting sqref="J209:J210">
    <cfRule type="top10" priority="21" rank="1"/>
  </conditionalFormatting>
  <conditionalFormatting sqref="J209:J212">
    <cfRule type="top10" dxfId="7" priority="20" rank="1"/>
  </conditionalFormatting>
  <conditionalFormatting sqref="K209">
    <cfRule type="top10" priority="17" rank="1"/>
  </conditionalFormatting>
  <conditionalFormatting sqref="K209">
    <cfRule type="top10" dxfId="6" priority="16" rank="1"/>
  </conditionalFormatting>
  <conditionalFormatting sqref="H302:H313">
    <cfRule type="top10" dxfId="5" priority="1" rank="1"/>
  </conditionalFormatting>
  <pageMargins left="0.75" right="0.75" top="1" bottom="1" header="0.5" footer="0.5"/>
  <pageSetup paperSize="9" scale="46"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59999389629810485"/>
  </sheetPr>
  <dimension ref="A1:G371"/>
  <sheetViews>
    <sheetView showGridLines="0" zoomScale="80" zoomScaleNormal="80" zoomScalePageLayoutView="80" workbookViewId="0">
      <selection activeCell="A2" sqref="A2"/>
    </sheetView>
  </sheetViews>
  <sheetFormatPr baseColWidth="10" defaultColWidth="11" defaultRowHeight="15.6" x14ac:dyDescent="0.3"/>
  <cols>
    <col min="1" max="1" width="3.69921875" customWidth="1"/>
    <col min="2" max="2" width="25" customWidth="1"/>
    <col min="3" max="3" width="18.796875" bestFit="1" customWidth="1"/>
    <col min="5" max="5" width="11.796875" bestFit="1" customWidth="1"/>
  </cols>
  <sheetData>
    <row r="1" spans="1:7" ht="23.4" x14ac:dyDescent="0.45">
      <c r="A1" s="399" t="s">
        <v>616</v>
      </c>
      <c r="B1" s="399"/>
      <c r="C1" s="399"/>
      <c r="D1" s="399"/>
      <c r="E1" s="399"/>
      <c r="F1" s="399"/>
      <c r="G1" s="399"/>
    </row>
    <row r="2" spans="1:7" x14ac:dyDescent="0.3">
      <c r="B2" s="143"/>
      <c r="F2" s="274" t="s">
        <v>541</v>
      </c>
      <c r="G2" t="s">
        <v>542</v>
      </c>
    </row>
    <row r="3" spans="1:7" x14ac:dyDescent="0.3">
      <c r="F3" s="275" t="s">
        <v>541</v>
      </c>
      <c r="G3" t="s">
        <v>543</v>
      </c>
    </row>
    <row r="5" spans="1:7" ht="18.600000000000001" thickBot="1" x14ac:dyDescent="0.35">
      <c r="B5" s="76" t="s">
        <v>3</v>
      </c>
      <c r="C5" s="77"/>
      <c r="D5" s="77"/>
      <c r="E5" s="77"/>
      <c r="F5" s="77"/>
      <c r="G5" s="77"/>
    </row>
    <row r="7" spans="1:7" x14ac:dyDescent="0.3">
      <c r="B7" s="408" t="s">
        <v>436</v>
      </c>
      <c r="C7" s="408"/>
      <c r="D7" s="62">
        <f>'Infos zone€'!G5</f>
        <v>24</v>
      </c>
    </row>
    <row r="8" spans="1:7" x14ac:dyDescent="0.3">
      <c r="B8" s="408" t="s">
        <v>539</v>
      </c>
      <c r="C8" s="408"/>
      <c r="D8">
        <f>630+69</f>
        <v>699</v>
      </c>
    </row>
    <row r="9" spans="1:7" x14ac:dyDescent="0.3">
      <c r="B9" s="405" t="s">
        <v>438</v>
      </c>
      <c r="C9" s="405"/>
      <c r="D9" s="138">
        <f>D8/D7</f>
        <v>29.125</v>
      </c>
    </row>
    <row r="11" spans="1:7" ht="43.2" x14ac:dyDescent="0.3">
      <c r="B11" s="31" t="s">
        <v>327</v>
      </c>
      <c r="C11" s="32" t="s">
        <v>538</v>
      </c>
      <c r="D11" s="32" t="s">
        <v>439</v>
      </c>
      <c r="E11" s="212" t="s">
        <v>379</v>
      </c>
      <c r="F11" s="213" t="s">
        <v>440</v>
      </c>
      <c r="G11" s="33" t="s">
        <v>332</v>
      </c>
    </row>
    <row r="12" spans="1:7" x14ac:dyDescent="0.3">
      <c r="B12" s="9" t="s">
        <v>328</v>
      </c>
      <c r="C12" s="10">
        <f>310+19</f>
        <v>329</v>
      </c>
      <c r="D12" s="10">
        <f>TRUNC(C12/$D$9)</f>
        <v>11</v>
      </c>
      <c r="E12" s="260">
        <f>C12-(D12*$D$9)</f>
        <v>8.625</v>
      </c>
      <c r="F12" s="10">
        <v>0</v>
      </c>
      <c r="G12" s="257">
        <f>D12+F12</f>
        <v>11</v>
      </c>
    </row>
    <row r="13" spans="1:7" x14ac:dyDescent="0.3">
      <c r="B13" s="65" t="s">
        <v>31</v>
      </c>
      <c r="C13" s="13">
        <f>193+28</f>
        <v>221</v>
      </c>
      <c r="D13" s="13">
        <f t="shared" ref="D13:D17" si="0">TRUNC(C13/$D$9)</f>
        <v>7</v>
      </c>
      <c r="E13" s="263">
        <f t="shared" ref="E13:E17" si="1">C13-(D13*$D$9)</f>
        <v>17.125</v>
      </c>
      <c r="F13" s="13">
        <v>1</v>
      </c>
      <c r="G13" s="232">
        <f t="shared" ref="G13:G14" si="2">D13+F13</f>
        <v>8</v>
      </c>
    </row>
    <row r="14" spans="1:7" x14ac:dyDescent="0.3">
      <c r="B14" s="9" t="s">
        <v>34</v>
      </c>
      <c r="C14" s="10">
        <f>64+5</f>
        <v>69</v>
      </c>
      <c r="D14" s="10">
        <f t="shared" si="0"/>
        <v>2</v>
      </c>
      <c r="E14" s="260">
        <f t="shared" si="1"/>
        <v>10.75</v>
      </c>
      <c r="F14" s="10">
        <v>0</v>
      </c>
      <c r="G14" s="233">
        <f t="shared" si="2"/>
        <v>2</v>
      </c>
    </row>
    <row r="15" spans="1:7" x14ac:dyDescent="0.3">
      <c r="B15" s="65" t="s">
        <v>540</v>
      </c>
      <c r="C15" s="13">
        <f>63+15</f>
        <v>78</v>
      </c>
      <c r="D15" s="13">
        <f>TRUNC(C15/$D$9)</f>
        <v>2</v>
      </c>
      <c r="E15" s="263">
        <f>C15-(D15*$D$9)</f>
        <v>19.75</v>
      </c>
      <c r="F15" s="13">
        <v>1</v>
      </c>
      <c r="G15" s="232">
        <v>3</v>
      </c>
    </row>
    <row r="16" spans="1:7" x14ac:dyDescent="0.3">
      <c r="B16" s="226" t="s">
        <v>486</v>
      </c>
      <c r="C16" s="10">
        <v>1</v>
      </c>
      <c r="D16" s="10">
        <f t="shared" si="0"/>
        <v>0</v>
      </c>
      <c r="E16" s="261">
        <f t="shared" si="1"/>
        <v>1</v>
      </c>
      <c r="F16" s="10">
        <v>0</v>
      </c>
      <c r="G16" s="233">
        <v>0</v>
      </c>
    </row>
    <row r="17" spans="2:7" ht="31.2" x14ac:dyDescent="0.3">
      <c r="B17" s="227" t="s">
        <v>489</v>
      </c>
      <c r="C17" s="64">
        <v>1</v>
      </c>
      <c r="D17" s="64">
        <f t="shared" si="0"/>
        <v>0</v>
      </c>
      <c r="E17" s="262">
        <f t="shared" si="1"/>
        <v>1</v>
      </c>
      <c r="F17" s="64">
        <v>0</v>
      </c>
      <c r="G17" s="264">
        <f>D17+F17</f>
        <v>0</v>
      </c>
    </row>
    <row r="18" spans="2:7" x14ac:dyDescent="0.3">
      <c r="C18" s="411">
        <f>SUM(D12:D17)</f>
        <v>22</v>
      </c>
      <c r="D18" s="411"/>
      <c r="G18" s="235">
        <f>SUM(G12:G17)</f>
        <v>24</v>
      </c>
    </row>
    <row r="19" spans="2:7" x14ac:dyDescent="0.3">
      <c r="C19" s="412">
        <f>D7-C18</f>
        <v>2</v>
      </c>
      <c r="D19" s="412"/>
    </row>
    <row r="22" spans="2:7" ht="18.600000000000001" thickBot="1" x14ac:dyDescent="0.35">
      <c r="B22" s="76" t="s">
        <v>4</v>
      </c>
      <c r="C22" s="77"/>
      <c r="D22" s="77"/>
      <c r="E22" s="77"/>
      <c r="F22" s="77"/>
      <c r="G22" s="77"/>
    </row>
    <row r="24" spans="2:7" x14ac:dyDescent="0.3">
      <c r="B24" s="408" t="s">
        <v>436</v>
      </c>
      <c r="C24" s="408"/>
      <c r="D24" s="62">
        <f>'Infos zone€'!G6</f>
        <v>3</v>
      </c>
    </row>
    <row r="25" spans="2:7" x14ac:dyDescent="0.3">
      <c r="B25" s="408" t="s">
        <v>539</v>
      </c>
      <c r="C25" s="408"/>
      <c r="D25">
        <f>183+61</f>
        <v>244</v>
      </c>
    </row>
    <row r="26" spans="2:7" x14ac:dyDescent="0.3">
      <c r="B26" s="405" t="s">
        <v>438</v>
      </c>
      <c r="C26" s="405"/>
      <c r="D26" s="138">
        <f>D25/D24</f>
        <v>81.333333333333329</v>
      </c>
    </row>
    <row r="28" spans="2:7" ht="43.2" x14ac:dyDescent="0.3">
      <c r="B28" s="31" t="s">
        <v>327</v>
      </c>
      <c r="C28" s="32" t="s">
        <v>538</v>
      </c>
      <c r="D28" s="32" t="s">
        <v>439</v>
      </c>
      <c r="E28" s="212" t="s">
        <v>379</v>
      </c>
      <c r="F28" s="213" t="s">
        <v>440</v>
      </c>
      <c r="G28" s="33" t="s">
        <v>332</v>
      </c>
    </row>
    <row r="29" spans="2:7" x14ac:dyDescent="0.3">
      <c r="B29" s="84" t="s">
        <v>333</v>
      </c>
      <c r="C29" s="82">
        <f>52+20</f>
        <v>72</v>
      </c>
      <c r="D29" s="82">
        <f>TRUNC(C29/$D$26)</f>
        <v>0</v>
      </c>
      <c r="E29" s="86">
        <f>C29-(D29*$D$26)</f>
        <v>72</v>
      </c>
      <c r="F29" s="82">
        <v>1</v>
      </c>
      <c r="G29" s="257">
        <f>D29+F29</f>
        <v>1</v>
      </c>
    </row>
    <row r="30" spans="2:7" x14ac:dyDescent="0.3">
      <c r="B30" s="211" t="s">
        <v>62</v>
      </c>
      <c r="C30" s="16">
        <f>50+22</f>
        <v>72</v>
      </c>
      <c r="D30" s="16">
        <f t="shared" ref="D30:D35" si="3">TRUNC(C30/$D$26)</f>
        <v>0</v>
      </c>
      <c r="E30" s="87">
        <f t="shared" ref="E30:E35" si="4">C30-(D30*$D$26)</f>
        <v>72</v>
      </c>
      <c r="F30" s="16">
        <v>1</v>
      </c>
      <c r="G30" s="232">
        <f t="shared" ref="G30:G35" si="5">D30+F30</f>
        <v>1</v>
      </c>
    </row>
    <row r="31" spans="2:7" x14ac:dyDescent="0.3">
      <c r="B31" s="84" t="s">
        <v>40</v>
      </c>
      <c r="C31" s="82">
        <f>38+13</f>
        <v>51</v>
      </c>
      <c r="D31" s="82">
        <f t="shared" si="3"/>
        <v>0</v>
      </c>
      <c r="E31" s="86">
        <f t="shared" si="4"/>
        <v>51</v>
      </c>
      <c r="F31" s="82">
        <v>1</v>
      </c>
      <c r="G31" s="233">
        <f t="shared" si="5"/>
        <v>1</v>
      </c>
    </row>
    <row r="32" spans="2:7" x14ac:dyDescent="0.3">
      <c r="B32" s="211" t="s">
        <v>441</v>
      </c>
      <c r="C32" s="16">
        <f>24+4</f>
        <v>28</v>
      </c>
      <c r="D32" s="16">
        <f t="shared" si="3"/>
        <v>0</v>
      </c>
      <c r="E32" s="16">
        <f t="shared" si="4"/>
        <v>28</v>
      </c>
      <c r="F32" s="16">
        <v>0</v>
      </c>
      <c r="G32" s="232">
        <f t="shared" si="5"/>
        <v>0</v>
      </c>
    </row>
    <row r="33" spans="2:7" x14ac:dyDescent="0.3">
      <c r="B33" s="11" t="s">
        <v>39</v>
      </c>
      <c r="C33" s="82">
        <f>6+1</f>
        <v>7</v>
      </c>
      <c r="D33" s="82">
        <f t="shared" si="3"/>
        <v>0</v>
      </c>
      <c r="E33" s="82">
        <f t="shared" si="4"/>
        <v>7</v>
      </c>
      <c r="F33" s="82">
        <v>0</v>
      </c>
      <c r="G33" s="233">
        <f t="shared" si="5"/>
        <v>0</v>
      </c>
    </row>
    <row r="34" spans="2:7" x14ac:dyDescent="0.3">
      <c r="B34" s="238" t="s">
        <v>38</v>
      </c>
      <c r="C34" s="16">
        <v>9</v>
      </c>
      <c r="D34" s="16">
        <f t="shared" si="3"/>
        <v>0</v>
      </c>
      <c r="E34" s="16">
        <f t="shared" si="4"/>
        <v>9</v>
      </c>
      <c r="F34" s="16">
        <v>0</v>
      </c>
      <c r="G34" s="232">
        <f t="shared" si="5"/>
        <v>0</v>
      </c>
    </row>
    <row r="35" spans="2:7" x14ac:dyDescent="0.3">
      <c r="B35" s="85" t="s">
        <v>44</v>
      </c>
      <c r="C35" s="90">
        <f>4+1</f>
        <v>5</v>
      </c>
      <c r="D35" s="90">
        <f t="shared" si="3"/>
        <v>0</v>
      </c>
      <c r="E35" s="90">
        <f t="shared" si="4"/>
        <v>5</v>
      </c>
      <c r="F35" s="90">
        <v>0</v>
      </c>
      <c r="G35" s="234">
        <f t="shared" si="5"/>
        <v>0</v>
      </c>
    </row>
    <row r="36" spans="2:7" x14ac:dyDescent="0.3">
      <c r="C36" s="214">
        <v>0</v>
      </c>
      <c r="G36" s="235">
        <f>SUM(G29:G35)</f>
        <v>3</v>
      </c>
    </row>
    <row r="37" spans="2:7" x14ac:dyDescent="0.3">
      <c r="C37" s="215">
        <f>D24-C36</f>
        <v>3</v>
      </c>
    </row>
    <row r="40" spans="2:7" ht="18.600000000000001" thickBot="1" x14ac:dyDescent="0.35">
      <c r="B40" s="76" t="s">
        <v>5</v>
      </c>
      <c r="C40" s="77"/>
      <c r="D40" s="77"/>
      <c r="E40" s="77"/>
      <c r="F40" s="77"/>
      <c r="G40" s="77"/>
    </row>
    <row r="42" spans="2:7" x14ac:dyDescent="0.3">
      <c r="B42" s="408" t="s">
        <v>436</v>
      </c>
      <c r="C42" s="408"/>
      <c r="D42" s="62">
        <f>'Infos zone€'!G7</f>
        <v>3</v>
      </c>
    </row>
    <row r="43" spans="2:7" x14ac:dyDescent="0.3">
      <c r="B43" s="408" t="s">
        <v>539</v>
      </c>
      <c r="C43" s="408"/>
      <c r="D43">
        <f>150+60</f>
        <v>210</v>
      </c>
    </row>
    <row r="44" spans="2:7" x14ac:dyDescent="0.3">
      <c r="B44" s="405" t="s">
        <v>438</v>
      </c>
      <c r="C44" s="405"/>
      <c r="D44" s="63">
        <f>D43/D42</f>
        <v>70</v>
      </c>
    </row>
    <row r="46" spans="2:7" ht="43.2" x14ac:dyDescent="0.3">
      <c r="B46" s="31" t="s">
        <v>327</v>
      </c>
      <c r="C46" s="32" t="s">
        <v>538</v>
      </c>
      <c r="D46" s="32" t="s">
        <v>439</v>
      </c>
      <c r="E46" s="212" t="s">
        <v>379</v>
      </c>
      <c r="F46" s="213" t="s">
        <v>440</v>
      </c>
      <c r="G46" s="33" t="s">
        <v>332</v>
      </c>
    </row>
    <row r="47" spans="2:7" x14ac:dyDescent="0.3">
      <c r="B47" s="84" t="s">
        <v>89</v>
      </c>
      <c r="C47" s="82">
        <f>31+12</f>
        <v>43</v>
      </c>
      <c r="D47" s="82">
        <f>TRUNC(C47/$D$44)</f>
        <v>0</v>
      </c>
      <c r="E47" s="86">
        <f>C47-(D47*$D$44)</f>
        <v>43</v>
      </c>
      <c r="F47" s="82">
        <v>1</v>
      </c>
      <c r="G47" s="257">
        <f>D47+F47</f>
        <v>1</v>
      </c>
    </row>
    <row r="48" spans="2:7" x14ac:dyDescent="0.3">
      <c r="B48" s="211" t="s">
        <v>66</v>
      </c>
      <c r="C48" s="16">
        <f>23+10</f>
        <v>33</v>
      </c>
      <c r="D48" s="16">
        <f t="shared" ref="D48:D59" si="6">TRUNC(C48/$D$44)</f>
        <v>0</v>
      </c>
      <c r="E48" s="87">
        <f t="shared" ref="E48:E59" si="7">C48-(D48*$D$44)</f>
        <v>33</v>
      </c>
      <c r="F48" s="16">
        <v>1</v>
      </c>
      <c r="G48" s="232">
        <f>D48+F48</f>
        <v>1</v>
      </c>
    </row>
    <row r="49" spans="2:7" x14ac:dyDescent="0.3">
      <c r="B49" s="84" t="s">
        <v>334</v>
      </c>
      <c r="C49" s="82">
        <f>20+8</f>
        <v>28</v>
      </c>
      <c r="D49" s="82">
        <f t="shared" si="6"/>
        <v>0</v>
      </c>
      <c r="E49" s="86">
        <f t="shared" si="7"/>
        <v>28</v>
      </c>
      <c r="F49" s="82">
        <v>1</v>
      </c>
      <c r="G49" s="233">
        <f>D49+F49</f>
        <v>1</v>
      </c>
    </row>
    <row r="50" spans="2:7" x14ac:dyDescent="0.3">
      <c r="B50" s="211" t="s">
        <v>335</v>
      </c>
      <c r="C50" s="16">
        <f>18+8</f>
        <v>26</v>
      </c>
      <c r="D50" s="16">
        <f t="shared" si="6"/>
        <v>0</v>
      </c>
      <c r="E50" s="16">
        <f t="shared" si="7"/>
        <v>26</v>
      </c>
      <c r="F50" s="16">
        <v>0</v>
      </c>
      <c r="G50" s="232">
        <f>D50+F50</f>
        <v>0</v>
      </c>
    </row>
    <row r="51" spans="2:7" x14ac:dyDescent="0.3">
      <c r="B51" s="11" t="s">
        <v>336</v>
      </c>
      <c r="C51" s="82">
        <f>14+5</f>
        <v>19</v>
      </c>
      <c r="D51" s="82">
        <f t="shared" si="6"/>
        <v>0</v>
      </c>
      <c r="E51" s="82">
        <f t="shared" si="7"/>
        <v>19</v>
      </c>
      <c r="F51" s="82">
        <v>0</v>
      </c>
      <c r="G51" s="233">
        <f t="shared" ref="G51:G53" si="8">D51+F51</f>
        <v>0</v>
      </c>
    </row>
    <row r="52" spans="2:7" x14ac:dyDescent="0.3">
      <c r="B52" s="12" t="s">
        <v>67</v>
      </c>
      <c r="C52" s="16">
        <f>13+5</f>
        <v>18</v>
      </c>
      <c r="D52" s="16">
        <f t="shared" si="6"/>
        <v>0</v>
      </c>
      <c r="E52" s="16">
        <f t="shared" si="7"/>
        <v>18</v>
      </c>
      <c r="F52" s="16">
        <v>0</v>
      </c>
      <c r="G52" s="232">
        <f t="shared" si="8"/>
        <v>0</v>
      </c>
    </row>
    <row r="53" spans="2:7" x14ac:dyDescent="0.3">
      <c r="B53" s="84" t="s">
        <v>68</v>
      </c>
      <c r="C53" s="82">
        <f>12+6</f>
        <v>18</v>
      </c>
      <c r="D53" s="82">
        <f t="shared" si="6"/>
        <v>0</v>
      </c>
      <c r="E53" s="82">
        <f t="shared" si="7"/>
        <v>18</v>
      </c>
      <c r="F53" s="82">
        <v>0</v>
      </c>
      <c r="G53" s="233">
        <f t="shared" si="8"/>
        <v>0</v>
      </c>
    </row>
    <row r="54" spans="2:7" x14ac:dyDescent="0.3">
      <c r="B54" s="211" t="s">
        <v>69</v>
      </c>
      <c r="C54" s="16">
        <f>9+4</f>
        <v>13</v>
      </c>
      <c r="D54" s="16">
        <f t="shared" si="6"/>
        <v>0</v>
      </c>
      <c r="E54" s="16">
        <f t="shared" si="7"/>
        <v>13</v>
      </c>
      <c r="F54" s="16">
        <v>0</v>
      </c>
      <c r="G54" s="232">
        <v>0</v>
      </c>
    </row>
    <row r="55" spans="2:7" x14ac:dyDescent="0.3">
      <c r="B55" s="84" t="s">
        <v>70</v>
      </c>
      <c r="C55" s="82">
        <f>3+2</f>
        <v>5</v>
      </c>
      <c r="D55" s="82">
        <f t="shared" si="6"/>
        <v>0</v>
      </c>
      <c r="E55" s="82">
        <f t="shared" si="7"/>
        <v>5</v>
      </c>
      <c r="F55" s="82">
        <v>0</v>
      </c>
      <c r="G55" s="233">
        <v>0</v>
      </c>
    </row>
    <row r="56" spans="2:7" x14ac:dyDescent="0.3">
      <c r="B56" s="236" t="s">
        <v>71</v>
      </c>
      <c r="C56" s="16">
        <v>2</v>
      </c>
      <c r="D56" s="16">
        <f t="shared" si="6"/>
        <v>0</v>
      </c>
      <c r="E56" s="16">
        <f t="shared" si="7"/>
        <v>2</v>
      </c>
      <c r="F56" s="16">
        <v>0</v>
      </c>
      <c r="G56" s="232">
        <v>0</v>
      </c>
    </row>
    <row r="57" spans="2:7" x14ac:dyDescent="0.3">
      <c r="B57" s="237" t="s">
        <v>78</v>
      </c>
      <c r="C57" s="82">
        <v>2</v>
      </c>
      <c r="D57" s="82">
        <f t="shared" si="6"/>
        <v>0</v>
      </c>
      <c r="E57" s="82">
        <f t="shared" si="7"/>
        <v>2</v>
      </c>
      <c r="F57" s="82">
        <v>0</v>
      </c>
      <c r="G57" s="233">
        <v>0</v>
      </c>
    </row>
    <row r="58" spans="2:7" x14ac:dyDescent="0.3">
      <c r="B58" s="238" t="s">
        <v>72</v>
      </c>
      <c r="C58" s="16">
        <v>1</v>
      </c>
      <c r="D58" s="16">
        <f t="shared" si="6"/>
        <v>0</v>
      </c>
      <c r="E58" s="16">
        <f t="shared" si="7"/>
        <v>1</v>
      </c>
      <c r="F58" s="16">
        <v>0</v>
      </c>
      <c r="G58" s="232">
        <v>0</v>
      </c>
    </row>
    <row r="59" spans="2:7" x14ac:dyDescent="0.3">
      <c r="B59" s="239" t="s">
        <v>44</v>
      </c>
      <c r="C59" s="90">
        <v>2</v>
      </c>
      <c r="D59" s="90">
        <f t="shared" si="6"/>
        <v>0</v>
      </c>
      <c r="E59" s="90">
        <f t="shared" si="7"/>
        <v>2</v>
      </c>
      <c r="F59" s="90">
        <v>0</v>
      </c>
      <c r="G59" s="234">
        <v>0</v>
      </c>
    </row>
    <row r="60" spans="2:7" x14ac:dyDescent="0.3">
      <c r="C60" s="214">
        <v>0</v>
      </c>
      <c r="G60" s="235">
        <f>SUM(G47:G59)</f>
        <v>3</v>
      </c>
    </row>
    <row r="61" spans="2:7" x14ac:dyDescent="0.3">
      <c r="C61" s="215">
        <f>D42-C60</f>
        <v>3</v>
      </c>
    </row>
    <row r="64" spans="2:7" ht="18.600000000000001" thickBot="1" x14ac:dyDescent="0.35">
      <c r="B64" s="76" t="s">
        <v>544</v>
      </c>
      <c r="C64" s="77"/>
      <c r="D64" s="77"/>
      <c r="E64" s="77"/>
      <c r="F64" s="77"/>
      <c r="G64" s="77"/>
    </row>
    <row r="66" spans="2:7" x14ac:dyDescent="0.3">
      <c r="B66" s="408" t="s">
        <v>436</v>
      </c>
      <c r="C66" s="408"/>
      <c r="D66" s="62">
        <v>1</v>
      </c>
    </row>
    <row r="67" spans="2:7" x14ac:dyDescent="0.3">
      <c r="B67" s="410" t="s">
        <v>330</v>
      </c>
      <c r="C67" s="410"/>
      <c r="D67">
        <v>56</v>
      </c>
    </row>
    <row r="68" spans="2:7" x14ac:dyDescent="0.3">
      <c r="B68" s="405" t="s">
        <v>438</v>
      </c>
      <c r="C68" s="405"/>
      <c r="D68" s="63">
        <f>D67/D66</f>
        <v>56</v>
      </c>
    </row>
    <row r="70" spans="2:7" ht="43.2" x14ac:dyDescent="0.3">
      <c r="B70" s="31" t="s">
        <v>327</v>
      </c>
      <c r="C70" s="32" t="s">
        <v>331</v>
      </c>
      <c r="D70" s="32" t="s">
        <v>439</v>
      </c>
      <c r="E70" s="212" t="s">
        <v>379</v>
      </c>
      <c r="F70" s="213" t="s">
        <v>440</v>
      </c>
      <c r="G70" s="67" t="s">
        <v>332</v>
      </c>
    </row>
    <row r="71" spans="2:7" x14ac:dyDescent="0.3">
      <c r="B71" s="84" t="s">
        <v>90</v>
      </c>
      <c r="C71" s="82">
        <v>20</v>
      </c>
      <c r="D71" s="82">
        <f>TRUNC(C71/$D$68)</f>
        <v>0</v>
      </c>
      <c r="E71" s="86">
        <f>C71-(D71*$D$68)</f>
        <v>20</v>
      </c>
      <c r="F71" s="82">
        <v>1</v>
      </c>
      <c r="G71" s="257">
        <f>1</f>
        <v>1</v>
      </c>
    </row>
    <row r="72" spans="2:7" x14ac:dyDescent="0.3">
      <c r="B72" s="211" t="s">
        <v>103</v>
      </c>
      <c r="C72" s="16">
        <v>19</v>
      </c>
      <c r="D72" s="16">
        <f t="shared" ref="D72:D77" si="9">TRUNC(C72/$D$68)</f>
        <v>0</v>
      </c>
      <c r="E72" s="16">
        <f t="shared" ref="E72:E77" si="10">C72-(D72*$D$68)</f>
        <v>19</v>
      </c>
      <c r="F72" s="16">
        <v>0</v>
      </c>
      <c r="G72" s="232">
        <v>0</v>
      </c>
    </row>
    <row r="73" spans="2:7" x14ac:dyDescent="0.3">
      <c r="B73" s="84" t="s">
        <v>104</v>
      </c>
      <c r="C73" s="82">
        <v>8</v>
      </c>
      <c r="D73" s="82">
        <f t="shared" si="9"/>
        <v>0</v>
      </c>
      <c r="E73" s="82">
        <f t="shared" si="10"/>
        <v>8</v>
      </c>
      <c r="F73" s="82">
        <v>0</v>
      </c>
      <c r="G73" s="233">
        <v>0</v>
      </c>
    </row>
    <row r="74" spans="2:7" x14ac:dyDescent="0.3">
      <c r="B74" s="211" t="s">
        <v>91</v>
      </c>
      <c r="C74" s="16">
        <v>5</v>
      </c>
      <c r="D74" s="16">
        <f t="shared" si="9"/>
        <v>0</v>
      </c>
      <c r="E74" s="16">
        <f t="shared" si="10"/>
        <v>5</v>
      </c>
      <c r="F74" s="16">
        <v>0</v>
      </c>
      <c r="G74" s="232">
        <v>0</v>
      </c>
    </row>
    <row r="75" spans="2:7" x14ac:dyDescent="0.3">
      <c r="B75" s="11" t="s">
        <v>92</v>
      </c>
      <c r="C75" s="82">
        <v>1</v>
      </c>
      <c r="D75" s="82">
        <f t="shared" si="9"/>
        <v>0</v>
      </c>
      <c r="E75" s="82">
        <f t="shared" si="10"/>
        <v>1</v>
      </c>
      <c r="F75" s="82">
        <v>0</v>
      </c>
      <c r="G75" s="233">
        <v>0</v>
      </c>
    </row>
    <row r="76" spans="2:7" x14ac:dyDescent="0.3">
      <c r="B76" s="12" t="s">
        <v>93</v>
      </c>
      <c r="C76" s="16">
        <v>1</v>
      </c>
      <c r="D76" s="16">
        <f t="shared" si="9"/>
        <v>0</v>
      </c>
      <c r="E76" s="16">
        <f t="shared" si="10"/>
        <v>1</v>
      </c>
      <c r="F76" s="16">
        <v>0</v>
      </c>
      <c r="G76" s="232">
        <v>0</v>
      </c>
    </row>
    <row r="77" spans="2:7" x14ac:dyDescent="0.3">
      <c r="B77" s="98" t="s">
        <v>44</v>
      </c>
      <c r="C77" s="90">
        <v>2</v>
      </c>
      <c r="D77" s="90">
        <f t="shared" si="9"/>
        <v>0</v>
      </c>
      <c r="E77" s="90">
        <f t="shared" si="10"/>
        <v>2</v>
      </c>
      <c r="F77" s="163">
        <v>0</v>
      </c>
      <c r="G77" s="234">
        <v>0</v>
      </c>
    </row>
    <row r="78" spans="2:7" x14ac:dyDescent="0.3">
      <c r="C78" s="216">
        <v>0</v>
      </c>
      <c r="G78" s="235">
        <f>SUM(G71:G77)</f>
        <v>1</v>
      </c>
    </row>
    <row r="79" spans="2:7" x14ac:dyDescent="0.3">
      <c r="C79" s="215">
        <f>D66-C78</f>
        <v>1</v>
      </c>
    </row>
    <row r="82" spans="2:7" ht="18.600000000000001" thickBot="1" x14ac:dyDescent="0.35">
      <c r="B82" s="76" t="s">
        <v>6</v>
      </c>
      <c r="C82" s="77"/>
      <c r="D82" s="77"/>
      <c r="E82" s="77"/>
      <c r="F82" s="77"/>
      <c r="G82" s="77"/>
    </row>
    <row r="84" spans="2:7" x14ac:dyDescent="0.3">
      <c r="B84" s="408" t="s">
        <v>436</v>
      </c>
      <c r="C84" s="408"/>
      <c r="D84" s="62">
        <f>'Infos zone€'!G9</f>
        <v>14.000000000000002</v>
      </c>
    </row>
    <row r="85" spans="2:7" x14ac:dyDescent="0.3">
      <c r="B85" s="408" t="s">
        <v>539</v>
      </c>
      <c r="C85" s="408"/>
      <c r="D85">
        <f>350+266</f>
        <v>616</v>
      </c>
    </row>
    <row r="86" spans="2:7" x14ac:dyDescent="0.3">
      <c r="B86" s="405" t="s">
        <v>438</v>
      </c>
      <c r="C86" s="405"/>
      <c r="D86" s="63">
        <f>D85/D84</f>
        <v>43.999999999999993</v>
      </c>
    </row>
    <row r="88" spans="2:7" ht="43.2" x14ac:dyDescent="0.3">
      <c r="B88" s="31" t="s">
        <v>327</v>
      </c>
      <c r="C88" s="32" t="s">
        <v>538</v>
      </c>
      <c r="D88" s="32" t="s">
        <v>439</v>
      </c>
      <c r="E88" s="212" t="s">
        <v>379</v>
      </c>
      <c r="F88" s="213" t="s">
        <v>440</v>
      </c>
      <c r="G88" s="67" t="s">
        <v>332</v>
      </c>
    </row>
    <row r="89" spans="2:7" x14ac:dyDescent="0.3">
      <c r="B89" s="9" t="s">
        <v>107</v>
      </c>
      <c r="C89" s="10">
        <f>84+62</f>
        <v>146</v>
      </c>
      <c r="D89" s="10">
        <f>TRUNC(C89/$D$86)</f>
        <v>3</v>
      </c>
      <c r="E89" s="10">
        <f>C89-(D89*$D$86)</f>
        <v>14.000000000000028</v>
      </c>
      <c r="F89" s="82">
        <v>0</v>
      </c>
      <c r="G89" s="113">
        <f>D89+F89</f>
        <v>3</v>
      </c>
    </row>
    <row r="90" spans="2:7" x14ac:dyDescent="0.3">
      <c r="B90" s="65" t="s">
        <v>120</v>
      </c>
      <c r="C90" s="13">
        <f>134+149</f>
        <v>283</v>
      </c>
      <c r="D90" s="13">
        <f t="shared" ref="D90:D95" si="11">TRUNC(C90/$D$86)</f>
        <v>6</v>
      </c>
      <c r="E90" s="153">
        <f t="shared" ref="E90:E94" si="12">C90-(D90*$D$86)</f>
        <v>19.000000000000057</v>
      </c>
      <c r="F90" s="16">
        <v>1</v>
      </c>
      <c r="G90" s="114">
        <v>7</v>
      </c>
    </row>
    <row r="91" spans="2:7" x14ac:dyDescent="0.3">
      <c r="B91" s="9" t="s">
        <v>108</v>
      </c>
      <c r="C91" s="10">
        <f>67+21</f>
        <v>88</v>
      </c>
      <c r="D91" s="10">
        <f>TRUNC(C91/$D$86)</f>
        <v>2</v>
      </c>
      <c r="E91" s="261">
        <f t="shared" si="12"/>
        <v>0</v>
      </c>
      <c r="F91" s="82">
        <v>0</v>
      </c>
      <c r="G91" s="72">
        <v>2</v>
      </c>
    </row>
    <row r="92" spans="2:7" x14ac:dyDescent="0.3">
      <c r="B92" s="65" t="s">
        <v>121</v>
      </c>
      <c r="C92" s="13">
        <f>32+3</f>
        <v>35</v>
      </c>
      <c r="D92" s="13">
        <f t="shared" si="11"/>
        <v>0</v>
      </c>
      <c r="E92" s="153">
        <f t="shared" si="12"/>
        <v>35</v>
      </c>
      <c r="F92" s="16">
        <v>1</v>
      </c>
      <c r="G92" s="114">
        <v>1</v>
      </c>
    </row>
    <row r="93" spans="2:7" x14ac:dyDescent="0.3">
      <c r="B93" s="9" t="s">
        <v>110</v>
      </c>
      <c r="C93" s="10">
        <f>9+12</f>
        <v>21</v>
      </c>
      <c r="D93" s="10">
        <f t="shared" si="11"/>
        <v>0</v>
      </c>
      <c r="E93" s="151">
        <f t="shared" si="12"/>
        <v>21</v>
      </c>
      <c r="F93" s="82">
        <v>1</v>
      </c>
      <c r="G93" s="72">
        <v>1</v>
      </c>
    </row>
    <row r="94" spans="2:7" x14ac:dyDescent="0.3">
      <c r="B94" s="65" t="s">
        <v>111</v>
      </c>
      <c r="C94" s="13">
        <f>5+6</f>
        <v>11</v>
      </c>
      <c r="D94" s="13">
        <f t="shared" si="11"/>
        <v>0</v>
      </c>
      <c r="E94" s="13">
        <f t="shared" si="12"/>
        <v>11</v>
      </c>
      <c r="F94" s="16">
        <v>0</v>
      </c>
      <c r="G94" s="114">
        <f>D94</f>
        <v>0</v>
      </c>
    </row>
    <row r="95" spans="2:7" x14ac:dyDescent="0.3">
      <c r="B95" s="99" t="s">
        <v>109</v>
      </c>
      <c r="C95" s="100">
        <f>19+13</f>
        <v>32</v>
      </c>
      <c r="D95" s="100">
        <f t="shared" si="11"/>
        <v>0</v>
      </c>
      <c r="E95" s="152">
        <f>C95-(D95*$D$86)</f>
        <v>32</v>
      </c>
      <c r="F95" s="163">
        <v>0</v>
      </c>
      <c r="G95" s="102">
        <f>D95</f>
        <v>0</v>
      </c>
    </row>
    <row r="96" spans="2:7" x14ac:dyDescent="0.3">
      <c r="C96" s="216">
        <f>SUM(D89:D95)</f>
        <v>11</v>
      </c>
      <c r="G96" s="235">
        <f>SUM(G89:G95)</f>
        <v>14</v>
      </c>
    </row>
    <row r="97" spans="2:7" x14ac:dyDescent="0.3">
      <c r="C97" s="215">
        <f>D84-C96</f>
        <v>3.0000000000000018</v>
      </c>
    </row>
    <row r="100" spans="2:7" ht="18.600000000000001" thickBot="1" x14ac:dyDescent="0.35">
      <c r="B100" s="76" t="s">
        <v>545</v>
      </c>
      <c r="C100" s="77"/>
      <c r="D100" s="77"/>
      <c r="E100" s="77"/>
      <c r="F100" s="77"/>
      <c r="G100" s="77"/>
    </row>
    <row r="102" spans="2:7" x14ac:dyDescent="0.3">
      <c r="B102" s="408" t="s">
        <v>436</v>
      </c>
      <c r="C102" s="408"/>
      <c r="D102" s="62">
        <v>1</v>
      </c>
    </row>
    <row r="103" spans="2:7" x14ac:dyDescent="0.3">
      <c r="B103" s="408" t="s">
        <v>330</v>
      </c>
      <c r="C103" s="408"/>
      <c r="D103">
        <v>101</v>
      </c>
    </row>
    <row r="104" spans="2:7" x14ac:dyDescent="0.3">
      <c r="B104" s="405" t="s">
        <v>438</v>
      </c>
      <c r="C104" s="405"/>
      <c r="D104" s="63">
        <f>D103/D102</f>
        <v>101</v>
      </c>
    </row>
    <row r="106" spans="2:7" ht="43.2" x14ac:dyDescent="0.3">
      <c r="B106" s="31" t="s">
        <v>327</v>
      </c>
      <c r="C106" s="32" t="s">
        <v>331</v>
      </c>
      <c r="D106" s="32" t="s">
        <v>439</v>
      </c>
      <c r="E106" s="212" t="s">
        <v>379</v>
      </c>
      <c r="F106" s="213" t="s">
        <v>440</v>
      </c>
      <c r="G106" s="33" t="s">
        <v>332</v>
      </c>
    </row>
    <row r="107" spans="2:7" x14ac:dyDescent="0.3">
      <c r="B107" s="84" t="s">
        <v>342</v>
      </c>
      <c r="C107" s="82">
        <v>30</v>
      </c>
      <c r="D107" s="82">
        <f>TRUNC(C107/$D$104)</f>
        <v>0</v>
      </c>
      <c r="E107" s="86">
        <f>C107-(D107*$D$104)</f>
        <v>30</v>
      </c>
      <c r="F107" s="82">
        <v>1</v>
      </c>
      <c r="G107" s="113">
        <v>1</v>
      </c>
    </row>
    <row r="108" spans="2:7" x14ac:dyDescent="0.3">
      <c r="B108" s="211" t="s">
        <v>351</v>
      </c>
      <c r="C108" s="16">
        <v>27</v>
      </c>
      <c r="D108" s="16">
        <f t="shared" ref="D108:D112" si="13">TRUNC(C108/$D$104)</f>
        <v>0</v>
      </c>
      <c r="E108" s="16">
        <f t="shared" ref="E108:E112" si="14">C108-(D108*$D$104)</f>
        <v>27</v>
      </c>
      <c r="F108" s="16">
        <v>0</v>
      </c>
      <c r="G108" s="265">
        <f>TRUNC(E108/$D$104)</f>
        <v>0</v>
      </c>
    </row>
    <row r="109" spans="2:7" x14ac:dyDescent="0.3">
      <c r="B109" s="84" t="s">
        <v>352</v>
      </c>
      <c r="C109" s="82">
        <v>15</v>
      </c>
      <c r="D109" s="82">
        <f t="shared" si="13"/>
        <v>0</v>
      </c>
      <c r="E109" s="82">
        <f t="shared" si="14"/>
        <v>15</v>
      </c>
      <c r="F109" s="82">
        <v>0</v>
      </c>
      <c r="G109" s="266">
        <f>TRUNC(E109/$D$104)</f>
        <v>0</v>
      </c>
    </row>
    <row r="110" spans="2:7" x14ac:dyDescent="0.3">
      <c r="B110" s="211" t="s">
        <v>353</v>
      </c>
      <c r="C110" s="16">
        <v>14</v>
      </c>
      <c r="D110" s="16">
        <f t="shared" si="13"/>
        <v>0</v>
      </c>
      <c r="E110" s="16">
        <f t="shared" si="14"/>
        <v>14</v>
      </c>
      <c r="F110" s="16">
        <v>0</v>
      </c>
      <c r="G110" s="265">
        <f>TRUNC(E110/$D$104)</f>
        <v>0</v>
      </c>
    </row>
    <row r="111" spans="2:7" x14ac:dyDescent="0.3">
      <c r="B111" s="11" t="s">
        <v>343</v>
      </c>
      <c r="C111" s="82">
        <v>8</v>
      </c>
      <c r="D111" s="82">
        <f t="shared" si="13"/>
        <v>0</v>
      </c>
      <c r="E111" s="82">
        <f t="shared" si="14"/>
        <v>8</v>
      </c>
      <c r="F111" s="82">
        <v>0</v>
      </c>
      <c r="G111" s="266">
        <f>TRUNC(E111/$D$104)</f>
        <v>0</v>
      </c>
    </row>
    <row r="112" spans="2:7" x14ac:dyDescent="0.3">
      <c r="B112" s="103" t="s">
        <v>344</v>
      </c>
      <c r="C112" s="104">
        <v>7</v>
      </c>
      <c r="D112" s="104">
        <f t="shared" si="13"/>
        <v>0</v>
      </c>
      <c r="E112" s="104">
        <f t="shared" si="14"/>
        <v>7</v>
      </c>
      <c r="F112" s="127">
        <v>0</v>
      </c>
      <c r="G112" s="267">
        <f>TRUNC(E112/$D$104)</f>
        <v>0</v>
      </c>
    </row>
    <row r="113" spans="2:7" x14ac:dyDescent="0.3">
      <c r="C113" s="216">
        <v>0</v>
      </c>
      <c r="G113" s="235">
        <f>SUM(G106:G112)</f>
        <v>1</v>
      </c>
    </row>
    <row r="114" spans="2:7" x14ac:dyDescent="0.3">
      <c r="C114" s="215">
        <f>D102-C113</f>
        <v>1</v>
      </c>
    </row>
    <row r="117" spans="2:7" ht="18.600000000000001" thickBot="1" x14ac:dyDescent="0.35">
      <c r="B117" s="76" t="s">
        <v>546</v>
      </c>
      <c r="C117" s="77"/>
      <c r="D117" s="77"/>
      <c r="E117" s="77"/>
      <c r="F117" s="77"/>
      <c r="G117" s="77"/>
    </row>
    <row r="119" spans="2:7" x14ac:dyDescent="0.3">
      <c r="B119" s="408" t="s">
        <v>436</v>
      </c>
      <c r="C119" s="408"/>
      <c r="D119" s="62">
        <v>2</v>
      </c>
    </row>
    <row r="120" spans="2:7" x14ac:dyDescent="0.3">
      <c r="B120" s="408" t="s">
        <v>330</v>
      </c>
      <c r="C120" s="408"/>
      <c r="D120">
        <v>200</v>
      </c>
    </row>
    <row r="121" spans="2:7" x14ac:dyDescent="0.3">
      <c r="B121" s="405" t="s">
        <v>438</v>
      </c>
      <c r="C121" s="405"/>
      <c r="D121" s="63">
        <f>D120/D119</f>
        <v>100</v>
      </c>
    </row>
    <row r="123" spans="2:7" ht="43.2" x14ac:dyDescent="0.3">
      <c r="B123" s="31" t="s">
        <v>327</v>
      </c>
      <c r="C123" s="32" t="s">
        <v>331</v>
      </c>
      <c r="D123" s="32" t="s">
        <v>439</v>
      </c>
      <c r="E123" s="212" t="s">
        <v>379</v>
      </c>
      <c r="F123" s="213" t="s">
        <v>440</v>
      </c>
      <c r="G123" s="67" t="s">
        <v>332</v>
      </c>
    </row>
    <row r="124" spans="2:7" x14ac:dyDescent="0.3">
      <c r="B124" s="84" t="s">
        <v>337</v>
      </c>
      <c r="C124" s="82">
        <v>49</v>
      </c>
      <c r="D124" s="82">
        <f>TRUNC(C124/$D$121)</f>
        <v>0</v>
      </c>
      <c r="E124" s="86">
        <f>C124-D124*$D$121</f>
        <v>49</v>
      </c>
      <c r="F124" s="82">
        <v>1</v>
      </c>
      <c r="G124" s="268">
        <v>1</v>
      </c>
    </row>
    <row r="125" spans="2:7" x14ac:dyDescent="0.3">
      <c r="B125" s="211" t="s">
        <v>338</v>
      </c>
      <c r="C125" s="16">
        <v>38</v>
      </c>
      <c r="D125" s="16">
        <f t="shared" ref="D125:D131" si="15">TRUNC(C125/$D$121)</f>
        <v>0</v>
      </c>
      <c r="E125" s="87">
        <f t="shared" ref="E125:E131" si="16">C125-D125*$D$121</f>
        <v>38</v>
      </c>
      <c r="F125" s="16">
        <v>1</v>
      </c>
      <c r="G125" s="265">
        <v>1</v>
      </c>
    </row>
    <row r="126" spans="2:7" x14ac:dyDescent="0.3">
      <c r="B126" s="84" t="s">
        <v>339</v>
      </c>
      <c r="C126" s="82">
        <v>37</v>
      </c>
      <c r="D126" s="82">
        <f t="shared" si="15"/>
        <v>0</v>
      </c>
      <c r="E126" s="82">
        <f t="shared" si="16"/>
        <v>37</v>
      </c>
      <c r="F126" s="82">
        <v>0</v>
      </c>
      <c r="G126" s="266">
        <v>0</v>
      </c>
    </row>
    <row r="127" spans="2:7" x14ac:dyDescent="0.3">
      <c r="B127" s="211" t="s">
        <v>134</v>
      </c>
      <c r="C127" s="16">
        <v>34</v>
      </c>
      <c r="D127" s="16">
        <f t="shared" si="15"/>
        <v>0</v>
      </c>
      <c r="E127" s="16">
        <f t="shared" si="16"/>
        <v>34</v>
      </c>
      <c r="F127" s="16">
        <v>0</v>
      </c>
      <c r="G127" s="265">
        <v>0</v>
      </c>
    </row>
    <row r="128" spans="2:7" x14ac:dyDescent="0.3">
      <c r="B128" s="11" t="s">
        <v>135</v>
      </c>
      <c r="C128" s="82">
        <v>15</v>
      </c>
      <c r="D128" s="82">
        <f t="shared" si="15"/>
        <v>0</v>
      </c>
      <c r="E128" s="82">
        <f t="shared" si="16"/>
        <v>15</v>
      </c>
      <c r="F128" s="82">
        <v>0</v>
      </c>
      <c r="G128" s="266">
        <v>0</v>
      </c>
    </row>
    <row r="129" spans="2:7" x14ac:dyDescent="0.3">
      <c r="B129" s="12" t="s">
        <v>136</v>
      </c>
      <c r="C129" s="16">
        <v>12</v>
      </c>
      <c r="D129" s="16">
        <f t="shared" si="15"/>
        <v>0</v>
      </c>
      <c r="E129" s="16">
        <f t="shared" si="16"/>
        <v>12</v>
      </c>
      <c r="F129" s="16">
        <v>0</v>
      </c>
      <c r="G129" s="265">
        <v>0</v>
      </c>
    </row>
    <row r="130" spans="2:7" x14ac:dyDescent="0.3">
      <c r="B130" s="84" t="s">
        <v>130</v>
      </c>
      <c r="C130" s="82">
        <v>10</v>
      </c>
      <c r="D130" s="82">
        <f t="shared" si="15"/>
        <v>0</v>
      </c>
      <c r="E130" s="82">
        <f t="shared" si="16"/>
        <v>10</v>
      </c>
      <c r="F130" s="82">
        <v>0</v>
      </c>
      <c r="G130" s="266">
        <v>0</v>
      </c>
    </row>
    <row r="131" spans="2:7" x14ac:dyDescent="0.3">
      <c r="B131" s="107" t="s">
        <v>132</v>
      </c>
      <c r="C131" s="104">
        <v>5</v>
      </c>
      <c r="D131" s="104">
        <f t="shared" si="15"/>
        <v>0</v>
      </c>
      <c r="E131" s="104">
        <f t="shared" si="16"/>
        <v>5</v>
      </c>
      <c r="F131" s="64">
        <v>0</v>
      </c>
      <c r="G131" s="267">
        <v>0</v>
      </c>
    </row>
    <row r="132" spans="2:7" x14ac:dyDescent="0.3">
      <c r="C132" s="216">
        <v>0</v>
      </c>
      <c r="G132" s="235">
        <f>SUM(G124:G131)</f>
        <v>2</v>
      </c>
    </row>
    <row r="133" spans="2:7" x14ac:dyDescent="0.3">
      <c r="C133" s="215">
        <f>D119-C132</f>
        <v>2</v>
      </c>
    </row>
    <row r="136" spans="2:7" ht="18.600000000000001" thickBot="1" x14ac:dyDescent="0.35">
      <c r="B136" s="76" t="s">
        <v>8</v>
      </c>
      <c r="C136" s="77"/>
      <c r="D136" s="77"/>
      <c r="E136" s="77"/>
      <c r="F136" s="77"/>
      <c r="G136" s="77"/>
    </row>
    <row r="138" spans="2:7" x14ac:dyDescent="0.3">
      <c r="B138" s="408" t="s">
        <v>436</v>
      </c>
      <c r="C138" s="408"/>
      <c r="D138" s="62">
        <f>'Infos zone€'!G12</f>
        <v>20</v>
      </c>
    </row>
    <row r="139" spans="2:7" x14ac:dyDescent="0.3">
      <c r="B139" s="408" t="s">
        <v>539</v>
      </c>
      <c r="C139" s="408"/>
      <c r="D139">
        <f>577+348</f>
        <v>925</v>
      </c>
    </row>
    <row r="140" spans="2:7" x14ac:dyDescent="0.3">
      <c r="B140" s="405" t="s">
        <v>438</v>
      </c>
      <c r="C140" s="405"/>
      <c r="D140" s="63">
        <f>D139/D138</f>
        <v>46.25</v>
      </c>
    </row>
    <row r="142" spans="2:7" ht="43.2" x14ac:dyDescent="0.3">
      <c r="B142" s="31" t="s">
        <v>327</v>
      </c>
      <c r="C142" s="32" t="s">
        <v>331</v>
      </c>
      <c r="D142" s="32" t="s">
        <v>439</v>
      </c>
      <c r="E142" s="212" t="s">
        <v>379</v>
      </c>
      <c r="F142" s="213" t="s">
        <v>440</v>
      </c>
      <c r="G142" s="33" t="s">
        <v>332</v>
      </c>
    </row>
    <row r="143" spans="2:7" x14ac:dyDescent="0.3">
      <c r="B143" s="240" t="s">
        <v>444</v>
      </c>
      <c r="C143" s="10">
        <v>288</v>
      </c>
      <c r="D143" s="10">
        <f>TRUNC(C143/$D$140)</f>
        <v>6</v>
      </c>
      <c r="E143" s="10">
        <f>C143-D143*$D$140</f>
        <v>10.5</v>
      </c>
      <c r="F143" s="68">
        <v>0</v>
      </c>
      <c r="G143" s="268">
        <v>6</v>
      </c>
    </row>
    <row r="144" spans="2:7" x14ac:dyDescent="0.3">
      <c r="B144" s="241" t="s">
        <v>443</v>
      </c>
      <c r="C144" s="13">
        <v>199</v>
      </c>
      <c r="D144" s="13">
        <f t="shared" ref="D144:D155" si="17">TRUNC(C144/$D$140)</f>
        <v>4</v>
      </c>
      <c r="E144" s="13">
        <f t="shared" ref="E144:E155" si="18">C144-D144*$D$140</f>
        <v>14</v>
      </c>
      <c r="F144" s="8">
        <v>0</v>
      </c>
      <c r="G144" s="265">
        <v>4</v>
      </c>
    </row>
    <row r="145" spans="2:7" x14ac:dyDescent="0.3">
      <c r="B145" s="240" t="s">
        <v>140</v>
      </c>
      <c r="C145" s="10">
        <v>27</v>
      </c>
      <c r="D145" s="10">
        <f t="shared" si="17"/>
        <v>0</v>
      </c>
      <c r="E145" s="151">
        <f t="shared" si="18"/>
        <v>27</v>
      </c>
      <c r="F145" s="68">
        <v>1</v>
      </c>
      <c r="G145" s="266">
        <v>1</v>
      </c>
    </row>
    <row r="146" spans="2:7" x14ac:dyDescent="0.3">
      <c r="B146" s="241" t="s">
        <v>141</v>
      </c>
      <c r="C146" s="13">
        <v>18</v>
      </c>
      <c r="D146" s="13">
        <f t="shared" si="17"/>
        <v>0</v>
      </c>
      <c r="E146" s="153">
        <f t="shared" si="18"/>
        <v>18</v>
      </c>
      <c r="F146" s="8">
        <v>1</v>
      </c>
      <c r="G146" s="265">
        <v>1</v>
      </c>
    </row>
    <row r="147" spans="2:7" x14ac:dyDescent="0.3">
      <c r="B147" s="240" t="s">
        <v>142</v>
      </c>
      <c r="C147" s="10">
        <v>15</v>
      </c>
      <c r="D147" s="10">
        <f t="shared" si="17"/>
        <v>0</v>
      </c>
      <c r="E147" s="10">
        <f t="shared" si="18"/>
        <v>15</v>
      </c>
      <c r="F147" s="68">
        <v>0</v>
      </c>
      <c r="G147" s="266">
        <v>0</v>
      </c>
    </row>
    <row r="148" spans="2:7" ht="31.2" x14ac:dyDescent="0.3">
      <c r="B148" s="242" t="s">
        <v>501</v>
      </c>
      <c r="C148" s="13">
        <v>108</v>
      </c>
      <c r="D148" s="13">
        <f t="shared" si="17"/>
        <v>2</v>
      </c>
      <c r="E148" s="13">
        <f t="shared" si="18"/>
        <v>15.5</v>
      </c>
      <c r="F148" s="8">
        <v>0</v>
      </c>
      <c r="G148" s="265">
        <v>2</v>
      </c>
    </row>
    <row r="149" spans="2:7" x14ac:dyDescent="0.3">
      <c r="B149" s="226" t="s">
        <v>502</v>
      </c>
      <c r="C149" s="10">
        <v>144</v>
      </c>
      <c r="D149" s="10">
        <f t="shared" si="17"/>
        <v>3</v>
      </c>
      <c r="E149" s="10">
        <f t="shared" si="18"/>
        <v>5.25</v>
      </c>
      <c r="F149" s="68">
        <v>0</v>
      </c>
      <c r="G149" s="266">
        <v>3</v>
      </c>
    </row>
    <row r="150" spans="2:7" x14ac:dyDescent="0.3">
      <c r="B150" s="242" t="s">
        <v>503</v>
      </c>
      <c r="C150" s="13">
        <v>42</v>
      </c>
      <c r="D150" s="13">
        <f t="shared" si="17"/>
        <v>0</v>
      </c>
      <c r="E150" s="153">
        <f t="shared" si="18"/>
        <v>42</v>
      </c>
      <c r="F150" s="8">
        <v>1</v>
      </c>
      <c r="G150" s="265">
        <v>1</v>
      </c>
    </row>
    <row r="151" spans="2:7" ht="31.2" x14ac:dyDescent="0.3">
      <c r="B151" s="226" t="s">
        <v>548</v>
      </c>
      <c r="C151" s="10">
        <v>21</v>
      </c>
      <c r="D151" s="10">
        <f t="shared" si="17"/>
        <v>0</v>
      </c>
      <c r="E151" s="151">
        <f t="shared" si="18"/>
        <v>21</v>
      </c>
      <c r="F151" s="68">
        <v>1</v>
      </c>
      <c r="G151" s="266">
        <v>1</v>
      </c>
    </row>
    <row r="152" spans="2:7" ht="46.8" x14ac:dyDescent="0.3">
      <c r="B152" s="242" t="s">
        <v>549</v>
      </c>
      <c r="C152" s="13">
        <v>17</v>
      </c>
      <c r="D152" s="13">
        <f t="shared" si="17"/>
        <v>0</v>
      </c>
      <c r="E152" s="153">
        <f t="shared" si="18"/>
        <v>17</v>
      </c>
      <c r="F152" s="8">
        <v>1</v>
      </c>
      <c r="G152" s="265">
        <v>1</v>
      </c>
    </row>
    <row r="153" spans="2:7" x14ac:dyDescent="0.3">
      <c r="B153" s="226" t="s">
        <v>505</v>
      </c>
      <c r="C153" s="10">
        <v>10</v>
      </c>
      <c r="D153" s="10">
        <f t="shared" si="17"/>
        <v>0</v>
      </c>
      <c r="E153" s="10">
        <f t="shared" si="18"/>
        <v>10</v>
      </c>
      <c r="F153" s="68">
        <v>0</v>
      </c>
      <c r="G153" s="266">
        <v>0</v>
      </c>
    </row>
    <row r="154" spans="2:7" x14ac:dyDescent="0.3">
      <c r="B154" s="65" t="s">
        <v>550</v>
      </c>
      <c r="C154" s="13">
        <f>25+6</f>
        <v>31</v>
      </c>
      <c r="D154" s="13">
        <f t="shared" si="17"/>
        <v>0</v>
      </c>
      <c r="E154" s="269">
        <f t="shared" si="18"/>
        <v>31</v>
      </c>
      <c r="F154" s="8">
        <v>0</v>
      </c>
      <c r="G154" s="265">
        <v>0</v>
      </c>
    </row>
    <row r="155" spans="2:7" x14ac:dyDescent="0.3">
      <c r="B155" s="99" t="s">
        <v>445</v>
      </c>
      <c r="C155" s="100">
        <v>5</v>
      </c>
      <c r="D155" s="100">
        <f t="shared" si="17"/>
        <v>0</v>
      </c>
      <c r="E155" s="152">
        <f t="shared" si="18"/>
        <v>5</v>
      </c>
      <c r="F155" s="100">
        <v>0</v>
      </c>
      <c r="G155" s="270">
        <v>0</v>
      </c>
    </row>
    <row r="156" spans="2:7" x14ac:dyDescent="0.3">
      <c r="C156" s="216">
        <f>SUM(D143:D155)</f>
        <v>15</v>
      </c>
      <c r="G156" s="137">
        <f>SUM(G143:G155)</f>
        <v>20</v>
      </c>
    </row>
    <row r="157" spans="2:7" x14ac:dyDescent="0.3">
      <c r="C157" s="215">
        <f>D138-C156</f>
        <v>5</v>
      </c>
    </row>
    <row r="160" spans="2:7" ht="18.600000000000001" thickBot="1" x14ac:dyDescent="0.35">
      <c r="B160" s="76" t="s">
        <v>552</v>
      </c>
      <c r="C160" s="77"/>
      <c r="D160" s="77"/>
      <c r="E160" s="77"/>
      <c r="F160" s="77"/>
      <c r="G160" s="77"/>
    </row>
    <row r="162" spans="2:7" x14ac:dyDescent="0.3">
      <c r="B162" s="408" t="s">
        <v>436</v>
      </c>
      <c r="C162" s="408"/>
      <c r="D162" s="62">
        <v>3</v>
      </c>
    </row>
    <row r="163" spans="2:7" x14ac:dyDescent="0.3">
      <c r="B163" s="408" t="s">
        <v>330</v>
      </c>
      <c r="C163" s="408"/>
      <c r="D163">
        <v>300</v>
      </c>
    </row>
    <row r="164" spans="2:7" x14ac:dyDescent="0.3">
      <c r="B164" s="405" t="s">
        <v>438</v>
      </c>
      <c r="C164" s="405"/>
      <c r="D164" s="63">
        <f>D163/D162</f>
        <v>100</v>
      </c>
    </row>
    <row r="166" spans="2:7" ht="43.2" x14ac:dyDescent="0.3">
      <c r="B166" s="31" t="s">
        <v>327</v>
      </c>
      <c r="C166" s="32" t="s">
        <v>331</v>
      </c>
      <c r="D166" s="32" t="s">
        <v>439</v>
      </c>
      <c r="E166" s="212" t="s">
        <v>379</v>
      </c>
      <c r="F166" s="213" t="s">
        <v>440</v>
      </c>
      <c r="G166" s="67" t="s">
        <v>332</v>
      </c>
    </row>
    <row r="167" spans="2:7" x14ac:dyDescent="0.3">
      <c r="B167" s="84" t="s">
        <v>155</v>
      </c>
      <c r="C167" s="82">
        <v>144</v>
      </c>
      <c r="D167" s="82">
        <f>TRUNC(C167/$D$164)</f>
        <v>1</v>
      </c>
      <c r="E167" s="86">
        <f>C167-D167*$D$164</f>
        <v>44</v>
      </c>
      <c r="F167" s="68">
        <v>1</v>
      </c>
      <c r="G167" s="266">
        <v>2</v>
      </c>
    </row>
    <row r="168" spans="2:7" x14ac:dyDescent="0.3">
      <c r="B168" s="211" t="s">
        <v>157</v>
      </c>
      <c r="C168" s="16">
        <v>76</v>
      </c>
      <c r="D168" s="16">
        <f t="shared" ref="D168:D175" si="19">TRUNC(C168/$D$164)</f>
        <v>0</v>
      </c>
      <c r="E168" s="87">
        <f t="shared" ref="E168:E175" si="20">C168-D168*$D$164</f>
        <v>76</v>
      </c>
      <c r="F168" s="8">
        <v>1</v>
      </c>
      <c r="G168" s="265">
        <v>1</v>
      </c>
    </row>
    <row r="169" spans="2:7" x14ac:dyDescent="0.3">
      <c r="B169" s="84" t="s">
        <v>160</v>
      </c>
      <c r="C169" s="82">
        <v>18</v>
      </c>
      <c r="D169" s="82">
        <f t="shared" si="19"/>
        <v>0</v>
      </c>
      <c r="E169" s="82">
        <f t="shared" si="20"/>
        <v>18</v>
      </c>
      <c r="F169" s="68">
        <v>0</v>
      </c>
      <c r="G169" s="266">
        <v>0</v>
      </c>
    </row>
    <row r="170" spans="2:7" x14ac:dyDescent="0.3">
      <c r="B170" s="211" t="s">
        <v>153</v>
      </c>
      <c r="C170" s="16">
        <v>18</v>
      </c>
      <c r="D170" s="16">
        <f t="shared" si="19"/>
        <v>0</v>
      </c>
      <c r="E170" s="16">
        <f t="shared" si="20"/>
        <v>18</v>
      </c>
      <c r="F170" s="8">
        <v>0</v>
      </c>
      <c r="G170" s="265">
        <v>0</v>
      </c>
    </row>
    <row r="171" spans="2:7" x14ac:dyDescent="0.3">
      <c r="B171" s="11" t="s">
        <v>163</v>
      </c>
      <c r="C171" s="82">
        <v>15</v>
      </c>
      <c r="D171" s="82">
        <f t="shared" si="19"/>
        <v>0</v>
      </c>
      <c r="E171" s="82">
        <f t="shared" si="20"/>
        <v>15</v>
      </c>
      <c r="F171" s="68">
        <v>0</v>
      </c>
      <c r="G171" s="266">
        <v>0</v>
      </c>
    </row>
    <row r="172" spans="2:7" x14ac:dyDescent="0.3">
      <c r="B172" s="12" t="s">
        <v>354</v>
      </c>
      <c r="C172" s="16">
        <v>9</v>
      </c>
      <c r="D172" s="16">
        <f t="shared" si="19"/>
        <v>0</v>
      </c>
      <c r="E172" s="16">
        <f t="shared" si="20"/>
        <v>9</v>
      </c>
      <c r="F172" s="8">
        <v>0</v>
      </c>
      <c r="G172" s="265">
        <v>0</v>
      </c>
    </row>
    <row r="173" spans="2:7" x14ac:dyDescent="0.3">
      <c r="B173" s="84" t="s">
        <v>168</v>
      </c>
      <c r="C173" s="82">
        <v>8</v>
      </c>
      <c r="D173" s="82">
        <f t="shared" si="19"/>
        <v>0</v>
      </c>
      <c r="E173" s="82">
        <f t="shared" si="20"/>
        <v>8</v>
      </c>
      <c r="F173" s="68">
        <v>0</v>
      </c>
      <c r="G173" s="266">
        <v>0</v>
      </c>
    </row>
    <row r="174" spans="2:7" x14ac:dyDescent="0.3">
      <c r="B174" s="211" t="s">
        <v>169</v>
      </c>
      <c r="C174" s="16">
        <v>6</v>
      </c>
      <c r="D174" s="16">
        <f t="shared" si="19"/>
        <v>0</v>
      </c>
      <c r="E174" s="16">
        <f t="shared" si="20"/>
        <v>6</v>
      </c>
      <c r="F174" s="8">
        <v>0</v>
      </c>
      <c r="G174" s="265">
        <v>0</v>
      </c>
    </row>
    <row r="175" spans="2:7" x14ac:dyDescent="0.3">
      <c r="B175" s="98" t="s">
        <v>44</v>
      </c>
      <c r="C175" s="90">
        <v>6</v>
      </c>
      <c r="D175" s="90">
        <f t="shared" si="19"/>
        <v>0</v>
      </c>
      <c r="E175" s="90">
        <f t="shared" si="20"/>
        <v>6</v>
      </c>
      <c r="F175" s="101">
        <v>0</v>
      </c>
      <c r="G175" s="234">
        <v>0</v>
      </c>
    </row>
    <row r="176" spans="2:7" x14ac:dyDescent="0.3">
      <c r="C176" s="216">
        <f>SUM(D167:D175)</f>
        <v>1</v>
      </c>
      <c r="G176" s="233">
        <f>SUM(G167:G175)</f>
        <v>3</v>
      </c>
    </row>
    <row r="177" spans="2:7" x14ac:dyDescent="0.3">
      <c r="C177" s="215">
        <f>D162-C176</f>
        <v>2</v>
      </c>
    </row>
    <row r="180" spans="2:7" ht="18.600000000000001" thickBot="1" x14ac:dyDescent="0.35">
      <c r="B180" s="76" t="s">
        <v>9</v>
      </c>
      <c r="C180" s="77"/>
      <c r="D180" s="77"/>
      <c r="E180" s="77"/>
      <c r="F180" s="77"/>
      <c r="G180" s="77"/>
    </row>
    <row r="182" spans="2:7" x14ac:dyDescent="0.3">
      <c r="B182" s="408" t="s">
        <v>436</v>
      </c>
      <c r="C182" s="408"/>
      <c r="D182" s="62">
        <f>'Infos zone€'!G14</f>
        <v>1</v>
      </c>
    </row>
    <row r="183" spans="2:7" x14ac:dyDescent="0.3">
      <c r="B183" s="408" t="s">
        <v>539</v>
      </c>
      <c r="C183" s="408"/>
      <c r="D183">
        <f>158+60</f>
        <v>218</v>
      </c>
    </row>
    <row r="184" spans="2:7" x14ac:dyDescent="0.3">
      <c r="B184" s="405" t="s">
        <v>438</v>
      </c>
      <c r="C184" s="405"/>
      <c r="D184" s="63">
        <f>D183/D182</f>
        <v>218</v>
      </c>
    </row>
    <row r="186" spans="2:7" ht="43.2" x14ac:dyDescent="0.3">
      <c r="B186" s="31" t="s">
        <v>327</v>
      </c>
      <c r="C186" s="32" t="s">
        <v>554</v>
      </c>
      <c r="D186" s="32" t="s">
        <v>439</v>
      </c>
      <c r="E186" s="212" t="s">
        <v>379</v>
      </c>
      <c r="F186" s="213" t="s">
        <v>440</v>
      </c>
      <c r="G186" s="67" t="s">
        <v>332</v>
      </c>
    </row>
    <row r="187" spans="2:7" x14ac:dyDescent="0.3">
      <c r="B187" s="84" t="s">
        <v>355</v>
      </c>
      <c r="C187" s="82">
        <f>50+19</f>
        <v>69</v>
      </c>
      <c r="D187" s="82">
        <f>TRUNC(C187/$D$184)</f>
        <v>0</v>
      </c>
      <c r="E187" s="86">
        <f>C187-D187*$D$184</f>
        <v>69</v>
      </c>
      <c r="F187" s="68">
        <v>1</v>
      </c>
      <c r="G187" s="113">
        <f t="shared" ref="G187:G195" si="21">F187</f>
        <v>1</v>
      </c>
    </row>
    <row r="188" spans="2:7" x14ac:dyDescent="0.3">
      <c r="B188" s="211" t="s">
        <v>177</v>
      </c>
      <c r="C188" s="16">
        <f>44+14</f>
        <v>58</v>
      </c>
      <c r="D188" s="16">
        <f t="shared" ref="D188:D196" si="22">TRUNC(C188/$D$184)</f>
        <v>0</v>
      </c>
      <c r="E188" s="16">
        <f t="shared" ref="E188:E197" si="23">C188-D188*$D$184</f>
        <v>58</v>
      </c>
      <c r="F188" s="8">
        <v>0</v>
      </c>
      <c r="G188" s="114">
        <f t="shared" si="21"/>
        <v>0</v>
      </c>
    </row>
    <row r="189" spans="2:7" x14ac:dyDescent="0.3">
      <c r="B189" s="84" t="s">
        <v>178</v>
      </c>
      <c r="C189" s="82">
        <f>23+7</f>
        <v>30</v>
      </c>
      <c r="D189" s="82">
        <f t="shared" si="22"/>
        <v>0</v>
      </c>
      <c r="E189" s="82">
        <f t="shared" si="23"/>
        <v>30</v>
      </c>
      <c r="F189" s="68">
        <v>0</v>
      </c>
      <c r="G189" s="72">
        <f t="shared" si="21"/>
        <v>0</v>
      </c>
    </row>
    <row r="190" spans="2:7" x14ac:dyDescent="0.3">
      <c r="B190" s="211" t="s">
        <v>186</v>
      </c>
      <c r="C190" s="16">
        <f>7+5</f>
        <v>12</v>
      </c>
      <c r="D190" s="16">
        <f t="shared" si="22"/>
        <v>0</v>
      </c>
      <c r="E190" s="16">
        <f t="shared" si="23"/>
        <v>12</v>
      </c>
      <c r="F190" s="8">
        <v>0</v>
      </c>
      <c r="G190" s="114">
        <f t="shared" si="21"/>
        <v>0</v>
      </c>
    </row>
    <row r="191" spans="2:7" x14ac:dyDescent="0.3">
      <c r="B191" s="237" t="s">
        <v>183</v>
      </c>
      <c r="C191" s="82">
        <v>6</v>
      </c>
      <c r="D191" s="82">
        <f t="shared" si="22"/>
        <v>0</v>
      </c>
      <c r="E191" s="82">
        <f t="shared" si="23"/>
        <v>6</v>
      </c>
      <c r="F191" s="68">
        <v>0</v>
      </c>
      <c r="G191" s="72">
        <f t="shared" si="21"/>
        <v>0</v>
      </c>
    </row>
    <row r="192" spans="2:7" x14ac:dyDescent="0.3">
      <c r="B192" s="236" t="s">
        <v>188</v>
      </c>
      <c r="C192" s="16">
        <v>4</v>
      </c>
      <c r="D192" s="16">
        <f t="shared" si="22"/>
        <v>0</v>
      </c>
      <c r="E192" s="16">
        <f t="shared" si="23"/>
        <v>4</v>
      </c>
      <c r="F192" s="8">
        <v>0</v>
      </c>
      <c r="G192" s="114">
        <f t="shared" si="21"/>
        <v>0</v>
      </c>
    </row>
    <row r="193" spans="2:7" x14ac:dyDescent="0.3">
      <c r="B193" s="248" t="s">
        <v>185</v>
      </c>
      <c r="C193" s="82">
        <v>3</v>
      </c>
      <c r="D193" s="82">
        <f t="shared" si="22"/>
        <v>0</v>
      </c>
      <c r="E193" s="82">
        <f t="shared" si="23"/>
        <v>3</v>
      </c>
      <c r="F193" s="68">
        <v>0</v>
      </c>
      <c r="G193" s="72">
        <f t="shared" si="21"/>
        <v>0</v>
      </c>
    </row>
    <row r="194" spans="2:7" ht="31.2" x14ac:dyDescent="0.3">
      <c r="B194" s="249" t="s">
        <v>553</v>
      </c>
      <c r="C194" s="16">
        <f>2+1</f>
        <v>3</v>
      </c>
      <c r="D194" s="16">
        <f t="shared" si="22"/>
        <v>0</v>
      </c>
      <c r="E194" s="16">
        <f t="shared" si="23"/>
        <v>3</v>
      </c>
      <c r="F194" s="8">
        <v>0</v>
      </c>
      <c r="G194" s="114">
        <f t="shared" si="21"/>
        <v>0</v>
      </c>
    </row>
    <row r="195" spans="2:7" x14ac:dyDescent="0.3">
      <c r="B195" s="11" t="s">
        <v>44</v>
      </c>
      <c r="C195" s="82">
        <f>11+10</f>
        <v>21</v>
      </c>
      <c r="D195" s="82">
        <f t="shared" si="22"/>
        <v>0</v>
      </c>
      <c r="E195" s="82">
        <f t="shared" si="23"/>
        <v>21</v>
      </c>
      <c r="F195" s="68">
        <v>0</v>
      </c>
      <c r="G195" s="72">
        <f t="shared" si="21"/>
        <v>0</v>
      </c>
    </row>
    <row r="196" spans="2:7" x14ac:dyDescent="0.3">
      <c r="B196" s="12" t="s">
        <v>555</v>
      </c>
      <c r="C196" s="250">
        <v>4</v>
      </c>
      <c r="D196" s="250">
        <f t="shared" si="22"/>
        <v>0</v>
      </c>
      <c r="E196" s="250">
        <f t="shared" si="23"/>
        <v>4</v>
      </c>
      <c r="F196" s="8"/>
      <c r="G196" s="114"/>
    </row>
    <row r="197" spans="2:7" x14ac:dyDescent="0.3">
      <c r="B197" s="98" t="s">
        <v>180</v>
      </c>
      <c r="C197" s="90">
        <v>8</v>
      </c>
      <c r="D197" s="90">
        <f>TRUNC(C197/$D$184)</f>
        <v>0</v>
      </c>
      <c r="E197" s="90">
        <f t="shared" si="23"/>
        <v>8</v>
      </c>
      <c r="F197" s="101">
        <v>0</v>
      </c>
      <c r="G197" s="102">
        <f>F197</f>
        <v>0</v>
      </c>
    </row>
    <row r="198" spans="2:7" x14ac:dyDescent="0.3">
      <c r="C198" s="216">
        <v>0</v>
      </c>
      <c r="G198" s="233">
        <f>SUM(G187:G197)</f>
        <v>1</v>
      </c>
    </row>
    <row r="199" spans="2:7" x14ac:dyDescent="0.3">
      <c r="C199" s="215">
        <f>D182-C198</f>
        <v>1</v>
      </c>
    </row>
    <row r="202" spans="2:7" ht="18.600000000000001" thickBot="1" x14ac:dyDescent="0.35">
      <c r="B202" s="76" t="s">
        <v>10</v>
      </c>
      <c r="C202" s="77"/>
      <c r="D202" s="77"/>
      <c r="E202" s="77"/>
      <c r="F202" s="77"/>
      <c r="G202" s="77"/>
    </row>
    <row r="204" spans="2:7" x14ac:dyDescent="0.3">
      <c r="B204" s="408" t="s">
        <v>436</v>
      </c>
      <c r="C204" s="408"/>
      <c r="D204" s="62">
        <f>'Infos zone€'!G15</f>
        <v>18</v>
      </c>
    </row>
    <row r="205" spans="2:7" x14ac:dyDescent="0.3">
      <c r="B205" s="408" t="s">
        <v>539</v>
      </c>
      <c r="C205" s="408"/>
      <c r="D205">
        <f>630+320</f>
        <v>950</v>
      </c>
    </row>
    <row r="206" spans="2:7" x14ac:dyDescent="0.3">
      <c r="B206" s="405" t="s">
        <v>438</v>
      </c>
      <c r="C206" s="405"/>
      <c r="D206" s="138">
        <f>D205/D204</f>
        <v>52.777777777777779</v>
      </c>
    </row>
    <row r="208" spans="2:7" ht="43.2" x14ac:dyDescent="0.3">
      <c r="B208" s="31" t="s">
        <v>327</v>
      </c>
      <c r="C208" s="32" t="s">
        <v>538</v>
      </c>
      <c r="D208" s="32" t="s">
        <v>439</v>
      </c>
      <c r="E208" s="212" t="s">
        <v>379</v>
      </c>
      <c r="F208" s="213" t="s">
        <v>440</v>
      </c>
      <c r="G208" s="67" t="s">
        <v>332</v>
      </c>
    </row>
    <row r="209" spans="2:7" x14ac:dyDescent="0.3">
      <c r="B209" s="84" t="s">
        <v>193</v>
      </c>
      <c r="C209" s="82">
        <f>285+99</f>
        <v>384</v>
      </c>
      <c r="D209" s="82">
        <f>TRUNC(C209/$D$206)</f>
        <v>7</v>
      </c>
      <c r="E209" s="252">
        <f>C209-D209*$D$206</f>
        <v>14.555555555555543</v>
      </c>
      <c r="F209" s="68">
        <v>0</v>
      </c>
      <c r="G209" s="113">
        <v>7</v>
      </c>
    </row>
    <row r="210" spans="2:7" x14ac:dyDescent="0.3">
      <c r="B210" s="211" t="s">
        <v>194</v>
      </c>
      <c r="C210" s="16">
        <f>91+35</f>
        <v>126</v>
      </c>
      <c r="D210" s="16">
        <f t="shared" ref="D210:D222" si="24">TRUNC(C210/$D$206)</f>
        <v>2</v>
      </c>
      <c r="E210" s="273">
        <f t="shared" ref="E210:E223" si="25">C210-D210*$D$206</f>
        <v>20.444444444444443</v>
      </c>
      <c r="F210" s="8">
        <v>1</v>
      </c>
      <c r="G210" s="114">
        <v>3</v>
      </c>
    </row>
    <row r="211" spans="2:7" x14ac:dyDescent="0.3">
      <c r="B211" s="84" t="s">
        <v>195</v>
      </c>
      <c r="C211" s="82">
        <f>50+42</f>
        <v>92</v>
      </c>
      <c r="D211" s="82">
        <f t="shared" si="24"/>
        <v>1</v>
      </c>
      <c r="E211" s="272">
        <f t="shared" si="25"/>
        <v>39.222222222222221</v>
      </c>
      <c r="F211" s="68">
        <v>1</v>
      </c>
      <c r="G211" s="72">
        <v>2</v>
      </c>
    </row>
    <row r="212" spans="2:7" x14ac:dyDescent="0.3">
      <c r="B212" s="211" t="s">
        <v>626</v>
      </c>
      <c r="C212" s="16">
        <f>36+14</f>
        <v>50</v>
      </c>
      <c r="D212" s="16">
        <f t="shared" si="24"/>
        <v>0</v>
      </c>
      <c r="E212" s="87">
        <f t="shared" si="25"/>
        <v>50</v>
      </c>
      <c r="F212" s="8">
        <v>1</v>
      </c>
      <c r="G212" s="114">
        <v>1</v>
      </c>
    </row>
    <row r="213" spans="2:7" x14ac:dyDescent="0.3">
      <c r="B213" s="237" t="s">
        <v>196</v>
      </c>
      <c r="C213" s="82">
        <v>15</v>
      </c>
      <c r="D213" s="82">
        <f t="shared" si="24"/>
        <v>0</v>
      </c>
      <c r="E213" s="95">
        <f t="shared" si="25"/>
        <v>15</v>
      </c>
      <c r="F213" s="68">
        <v>0</v>
      </c>
      <c r="G213" s="72">
        <v>0</v>
      </c>
    </row>
    <row r="214" spans="2:7" x14ac:dyDescent="0.3">
      <c r="B214" s="211" t="s">
        <v>197</v>
      </c>
      <c r="C214" s="16">
        <f>26+27</f>
        <v>53</v>
      </c>
      <c r="D214" s="16">
        <f t="shared" si="24"/>
        <v>1</v>
      </c>
      <c r="E214" s="253">
        <f t="shared" si="25"/>
        <v>0.22222222222222143</v>
      </c>
      <c r="F214" s="8">
        <v>0</v>
      </c>
      <c r="G214" s="114">
        <v>1</v>
      </c>
    </row>
    <row r="215" spans="2:7" x14ac:dyDescent="0.3">
      <c r="B215" s="248" t="s">
        <v>198</v>
      </c>
      <c r="C215" s="82">
        <v>16</v>
      </c>
      <c r="D215" s="82">
        <f t="shared" si="24"/>
        <v>0</v>
      </c>
      <c r="E215" s="86">
        <f t="shared" si="25"/>
        <v>16</v>
      </c>
      <c r="F215" s="68">
        <v>1</v>
      </c>
      <c r="G215" s="72">
        <v>1</v>
      </c>
    </row>
    <row r="216" spans="2:7" x14ac:dyDescent="0.3">
      <c r="B216" s="211" t="s">
        <v>199</v>
      </c>
      <c r="C216" s="16">
        <f>19+12</f>
        <v>31</v>
      </c>
      <c r="D216" s="16">
        <f t="shared" si="24"/>
        <v>0</v>
      </c>
      <c r="E216" s="87">
        <f t="shared" si="25"/>
        <v>31</v>
      </c>
      <c r="F216" s="8">
        <v>1</v>
      </c>
      <c r="G216" s="114">
        <v>1</v>
      </c>
    </row>
    <row r="217" spans="2:7" x14ac:dyDescent="0.3">
      <c r="B217" s="84" t="s">
        <v>203</v>
      </c>
      <c r="C217" s="82">
        <f>16+16</f>
        <v>32</v>
      </c>
      <c r="D217" s="82">
        <f t="shared" si="24"/>
        <v>0</v>
      </c>
      <c r="E217" s="86">
        <f t="shared" si="25"/>
        <v>32</v>
      </c>
      <c r="F217" s="68">
        <v>1</v>
      </c>
      <c r="G217" s="72">
        <v>1</v>
      </c>
    </row>
    <row r="218" spans="2:7" x14ac:dyDescent="0.3">
      <c r="B218" s="236" t="s">
        <v>200</v>
      </c>
      <c r="C218" s="124">
        <v>14</v>
      </c>
      <c r="D218" s="124">
        <f t="shared" si="24"/>
        <v>0</v>
      </c>
      <c r="E218" s="124">
        <f t="shared" si="25"/>
        <v>14</v>
      </c>
      <c r="F218" s="8">
        <v>0</v>
      </c>
      <c r="G218" s="114">
        <v>0</v>
      </c>
    </row>
    <row r="219" spans="2:7" x14ac:dyDescent="0.3">
      <c r="B219" s="237" t="s">
        <v>201</v>
      </c>
      <c r="C219" s="223">
        <v>11</v>
      </c>
      <c r="D219" s="223">
        <f t="shared" si="24"/>
        <v>0</v>
      </c>
      <c r="E219" s="223">
        <f t="shared" si="25"/>
        <v>11</v>
      </c>
      <c r="F219" s="68">
        <v>0</v>
      </c>
      <c r="G219" s="72">
        <v>0</v>
      </c>
    </row>
    <row r="220" spans="2:7" x14ac:dyDescent="0.3">
      <c r="B220" s="255" t="s">
        <v>518</v>
      </c>
      <c r="C220" s="16">
        <v>19</v>
      </c>
      <c r="D220" s="16">
        <f>TRUNC(C220/$D$206)</f>
        <v>0</v>
      </c>
      <c r="E220" s="87">
        <f>C220-D220*$D$206</f>
        <v>19</v>
      </c>
      <c r="F220" s="8">
        <v>1</v>
      </c>
      <c r="G220" s="114">
        <v>1</v>
      </c>
    </row>
    <row r="221" spans="2:7" x14ac:dyDescent="0.3">
      <c r="B221" s="256" t="s">
        <v>520</v>
      </c>
      <c r="C221" s="223">
        <v>14</v>
      </c>
      <c r="D221" s="223">
        <f t="shared" si="24"/>
        <v>0</v>
      </c>
      <c r="E221" s="223">
        <f t="shared" si="25"/>
        <v>14</v>
      </c>
      <c r="F221" s="68">
        <v>0</v>
      </c>
      <c r="G221" s="72">
        <v>0</v>
      </c>
    </row>
    <row r="222" spans="2:7" x14ac:dyDescent="0.3">
      <c r="B222" s="255" t="s">
        <v>523</v>
      </c>
      <c r="C222" s="16">
        <v>9</v>
      </c>
      <c r="D222" s="16">
        <f t="shared" si="24"/>
        <v>0</v>
      </c>
      <c r="E222" s="16">
        <f t="shared" si="25"/>
        <v>9</v>
      </c>
      <c r="F222" s="8">
        <v>0</v>
      </c>
      <c r="G222" s="114">
        <v>0</v>
      </c>
    </row>
    <row r="223" spans="2:7" x14ac:dyDescent="0.3">
      <c r="B223" s="85" t="s">
        <v>109</v>
      </c>
      <c r="C223" s="128">
        <f>51+33</f>
        <v>84</v>
      </c>
      <c r="D223" s="152">
        <f>TRUNC(C223/$D$206)</f>
        <v>1</v>
      </c>
      <c r="E223" s="271">
        <f t="shared" si="25"/>
        <v>31.222222222222221</v>
      </c>
      <c r="F223" s="101">
        <v>0</v>
      </c>
      <c r="G223" s="102">
        <v>0</v>
      </c>
    </row>
    <row r="224" spans="2:7" x14ac:dyDescent="0.3">
      <c r="C224" s="216">
        <f>SUM(D209:D222)</f>
        <v>11</v>
      </c>
      <c r="G224" s="233">
        <f>SUM(G209:G223)</f>
        <v>18</v>
      </c>
    </row>
    <row r="225" spans="2:7" x14ac:dyDescent="0.3">
      <c r="C225" s="215">
        <f>D204-C224</f>
        <v>7</v>
      </c>
      <c r="G225" s="1"/>
    </row>
    <row r="228" spans="2:7" ht="18.600000000000001" thickBot="1" x14ac:dyDescent="0.35">
      <c r="B228" s="76" t="s">
        <v>556</v>
      </c>
      <c r="C228" s="77"/>
      <c r="D228" s="77"/>
      <c r="E228" s="77"/>
      <c r="F228" s="77"/>
      <c r="G228" s="77"/>
    </row>
    <row r="230" spans="2:7" x14ac:dyDescent="0.3">
      <c r="B230" s="408" t="s">
        <v>436</v>
      </c>
      <c r="C230" s="408"/>
      <c r="D230" s="62">
        <v>1</v>
      </c>
    </row>
    <row r="231" spans="2:7" x14ac:dyDescent="0.3">
      <c r="B231" s="408" t="s">
        <v>330</v>
      </c>
      <c r="C231" s="408"/>
      <c r="D231">
        <v>100</v>
      </c>
    </row>
    <row r="232" spans="2:7" x14ac:dyDescent="0.3">
      <c r="B232" s="405" t="s">
        <v>438</v>
      </c>
      <c r="C232" s="405"/>
      <c r="D232" s="63">
        <f>D231/D230</f>
        <v>100</v>
      </c>
    </row>
    <row r="234" spans="2:7" ht="43.2" x14ac:dyDescent="0.3">
      <c r="B234" s="31" t="s">
        <v>327</v>
      </c>
      <c r="C234" s="32" t="s">
        <v>331</v>
      </c>
      <c r="D234" s="32" t="s">
        <v>439</v>
      </c>
      <c r="E234" s="212" t="s">
        <v>379</v>
      </c>
      <c r="F234" s="213" t="s">
        <v>440</v>
      </c>
      <c r="G234" s="67" t="s">
        <v>332</v>
      </c>
    </row>
    <row r="235" spans="2:7" x14ac:dyDescent="0.3">
      <c r="B235" s="84" t="s">
        <v>219</v>
      </c>
      <c r="C235" s="82">
        <v>24</v>
      </c>
      <c r="D235" s="82">
        <f>TRUNC(C235/$D$232)</f>
        <v>0</v>
      </c>
      <c r="E235" s="86">
        <f>C235-D235*$D$232</f>
        <v>24</v>
      </c>
      <c r="F235" s="68">
        <v>1</v>
      </c>
      <c r="G235" s="113">
        <v>1</v>
      </c>
    </row>
    <row r="236" spans="2:7" x14ac:dyDescent="0.3">
      <c r="B236" s="211" t="s">
        <v>356</v>
      </c>
      <c r="C236" s="16">
        <v>23</v>
      </c>
      <c r="D236" s="16">
        <f t="shared" ref="D236:D241" si="26">TRUNC(C236/$D$232)</f>
        <v>0</v>
      </c>
      <c r="E236" s="16">
        <f t="shared" ref="E236:E241" si="27">C236-D236*$D$232</f>
        <v>23</v>
      </c>
      <c r="F236" s="8">
        <v>0</v>
      </c>
      <c r="G236" s="114">
        <v>0</v>
      </c>
    </row>
    <row r="237" spans="2:7" x14ac:dyDescent="0.3">
      <c r="B237" s="84" t="s">
        <v>357</v>
      </c>
      <c r="C237" s="82">
        <v>21</v>
      </c>
      <c r="D237" s="82">
        <f t="shared" si="26"/>
        <v>0</v>
      </c>
      <c r="E237" s="82">
        <f t="shared" si="27"/>
        <v>21</v>
      </c>
      <c r="F237" s="68">
        <v>0</v>
      </c>
      <c r="G237" s="72">
        <v>0</v>
      </c>
    </row>
    <row r="238" spans="2:7" x14ac:dyDescent="0.3">
      <c r="B238" s="211" t="s">
        <v>358</v>
      </c>
      <c r="C238" s="16">
        <v>17</v>
      </c>
      <c r="D238" s="16">
        <f t="shared" si="26"/>
        <v>0</v>
      </c>
      <c r="E238" s="16">
        <f t="shared" si="27"/>
        <v>17</v>
      </c>
      <c r="F238" s="8">
        <v>0</v>
      </c>
      <c r="G238" s="114">
        <v>0</v>
      </c>
    </row>
    <row r="239" spans="2:7" x14ac:dyDescent="0.3">
      <c r="B239" s="84" t="s">
        <v>220</v>
      </c>
      <c r="C239" s="82">
        <v>7</v>
      </c>
      <c r="D239" s="82">
        <f t="shared" si="26"/>
        <v>0</v>
      </c>
      <c r="E239" s="82">
        <f t="shared" si="27"/>
        <v>7</v>
      </c>
      <c r="F239" s="68">
        <v>0</v>
      </c>
      <c r="G239" s="72">
        <v>0</v>
      </c>
    </row>
    <row r="240" spans="2:7" x14ac:dyDescent="0.3">
      <c r="B240" s="211" t="s">
        <v>221</v>
      </c>
      <c r="C240" s="16">
        <v>7</v>
      </c>
      <c r="D240" s="16">
        <f t="shared" si="26"/>
        <v>0</v>
      </c>
      <c r="E240" s="16">
        <f t="shared" si="27"/>
        <v>7</v>
      </c>
      <c r="F240" s="8">
        <v>0</v>
      </c>
      <c r="G240" s="114">
        <v>0</v>
      </c>
    </row>
    <row r="241" spans="2:7" x14ac:dyDescent="0.3">
      <c r="B241" s="98" t="s">
        <v>222</v>
      </c>
      <c r="C241" s="90">
        <v>1</v>
      </c>
      <c r="D241" s="90">
        <f t="shared" si="26"/>
        <v>0</v>
      </c>
      <c r="E241" s="90">
        <f t="shared" si="27"/>
        <v>1</v>
      </c>
      <c r="F241" s="101">
        <v>0</v>
      </c>
      <c r="G241" s="102">
        <v>0</v>
      </c>
    </row>
    <row r="242" spans="2:7" x14ac:dyDescent="0.3">
      <c r="C242" s="216">
        <f>SUM(D235:D241)</f>
        <v>0</v>
      </c>
      <c r="G242" s="233">
        <f>SUM(G235:G241)</f>
        <v>1</v>
      </c>
    </row>
    <row r="243" spans="2:7" x14ac:dyDescent="0.3">
      <c r="C243" s="215">
        <f>D230-C242</f>
        <v>1</v>
      </c>
    </row>
    <row r="244" spans="2:7" x14ac:dyDescent="0.3">
      <c r="C244" s="131"/>
    </row>
    <row r="245" spans="2:7" x14ac:dyDescent="0.3">
      <c r="C245" s="131"/>
    </row>
    <row r="246" spans="2:7" ht="18.600000000000001" thickBot="1" x14ac:dyDescent="0.35">
      <c r="B246" s="76" t="s">
        <v>557</v>
      </c>
      <c r="C246" s="77"/>
      <c r="D246" s="77"/>
      <c r="E246" s="77"/>
      <c r="F246" s="77"/>
      <c r="G246" s="77"/>
    </row>
    <row r="248" spans="2:7" x14ac:dyDescent="0.3">
      <c r="B248" s="408" t="s">
        <v>436</v>
      </c>
      <c r="C248" s="408"/>
      <c r="D248">
        <v>1</v>
      </c>
    </row>
    <row r="249" spans="2:7" x14ac:dyDescent="0.3">
      <c r="B249" s="408" t="s">
        <v>330</v>
      </c>
      <c r="C249" s="408"/>
      <c r="D249">
        <v>139</v>
      </c>
    </row>
    <row r="250" spans="2:7" x14ac:dyDescent="0.3">
      <c r="B250" s="405" t="s">
        <v>438</v>
      </c>
      <c r="C250" s="405"/>
      <c r="D250" s="63">
        <f>D249/D248</f>
        <v>139</v>
      </c>
    </row>
    <row r="252" spans="2:7" ht="43.2" x14ac:dyDescent="0.3">
      <c r="B252" s="31" t="s">
        <v>327</v>
      </c>
      <c r="C252" s="32" t="s">
        <v>331</v>
      </c>
      <c r="D252" s="32" t="s">
        <v>439</v>
      </c>
      <c r="E252" s="212" t="s">
        <v>379</v>
      </c>
      <c r="F252" s="213" t="s">
        <v>440</v>
      </c>
      <c r="G252" s="67" t="s">
        <v>332</v>
      </c>
    </row>
    <row r="253" spans="2:7" x14ac:dyDescent="0.3">
      <c r="B253" s="84" t="s">
        <v>359</v>
      </c>
      <c r="C253" s="82">
        <v>56</v>
      </c>
      <c r="D253" s="82">
        <f>TRUNC(C253/$D$250)</f>
        <v>0</v>
      </c>
      <c r="E253" s="86">
        <f>C253-D253*$D$250</f>
        <v>56</v>
      </c>
      <c r="F253" s="68">
        <v>1</v>
      </c>
      <c r="G253" s="113">
        <v>1</v>
      </c>
    </row>
    <row r="254" spans="2:7" x14ac:dyDescent="0.3">
      <c r="B254" s="211" t="s">
        <v>233</v>
      </c>
      <c r="C254" s="16">
        <v>31</v>
      </c>
      <c r="D254" s="16">
        <f t="shared" ref="D254:D259" si="28">TRUNC(C254/$D$250)</f>
        <v>0</v>
      </c>
      <c r="E254" s="16">
        <f t="shared" ref="E254:E259" si="29">C254-D254*$D$250</f>
        <v>31</v>
      </c>
      <c r="F254" s="8">
        <v>0</v>
      </c>
      <c r="G254" s="114">
        <v>0</v>
      </c>
    </row>
    <row r="255" spans="2:7" x14ac:dyDescent="0.3">
      <c r="B255" s="84" t="s">
        <v>360</v>
      </c>
      <c r="C255" s="82">
        <v>19</v>
      </c>
      <c r="D255" s="82">
        <f t="shared" si="28"/>
        <v>0</v>
      </c>
      <c r="E255" s="82">
        <f t="shared" si="29"/>
        <v>19</v>
      </c>
      <c r="F255" s="68">
        <v>0</v>
      </c>
      <c r="G255" s="72">
        <v>0</v>
      </c>
    </row>
    <row r="256" spans="2:7" x14ac:dyDescent="0.3">
      <c r="B256" s="211" t="s">
        <v>237</v>
      </c>
      <c r="C256" s="16">
        <v>14</v>
      </c>
      <c r="D256" s="16">
        <f t="shared" si="28"/>
        <v>0</v>
      </c>
      <c r="E256" s="16">
        <f t="shared" si="29"/>
        <v>14</v>
      </c>
      <c r="F256" s="8">
        <v>0</v>
      </c>
      <c r="G256" s="114">
        <v>0</v>
      </c>
    </row>
    <row r="257" spans="2:7" x14ac:dyDescent="0.3">
      <c r="B257" s="84" t="s">
        <v>239</v>
      </c>
      <c r="C257" s="82">
        <v>8</v>
      </c>
      <c r="D257" s="82">
        <f t="shared" si="28"/>
        <v>0</v>
      </c>
      <c r="E257" s="82">
        <f t="shared" si="29"/>
        <v>8</v>
      </c>
      <c r="F257" s="68">
        <v>0</v>
      </c>
      <c r="G257" s="72">
        <v>0</v>
      </c>
    </row>
    <row r="258" spans="2:7" x14ac:dyDescent="0.3">
      <c r="B258" s="211" t="s">
        <v>241</v>
      </c>
      <c r="C258" s="16">
        <v>8</v>
      </c>
      <c r="D258" s="16">
        <f t="shared" si="28"/>
        <v>0</v>
      </c>
      <c r="E258" s="16">
        <f t="shared" si="29"/>
        <v>8</v>
      </c>
      <c r="F258" s="8">
        <v>0</v>
      </c>
      <c r="G258" s="114">
        <v>0</v>
      </c>
    </row>
    <row r="259" spans="2:7" x14ac:dyDescent="0.3">
      <c r="B259" s="98" t="s">
        <v>243</v>
      </c>
      <c r="C259" s="90">
        <v>3</v>
      </c>
      <c r="D259" s="90">
        <f t="shared" si="28"/>
        <v>0</v>
      </c>
      <c r="E259" s="90">
        <f t="shared" si="29"/>
        <v>3</v>
      </c>
      <c r="F259" s="101">
        <v>0</v>
      </c>
      <c r="G259" s="102">
        <v>0</v>
      </c>
    </row>
    <row r="260" spans="2:7" x14ac:dyDescent="0.3">
      <c r="C260" s="216">
        <v>0</v>
      </c>
      <c r="G260" s="233">
        <f>SUM(G253:G259)</f>
        <v>1</v>
      </c>
    </row>
    <row r="261" spans="2:7" x14ac:dyDescent="0.3">
      <c r="C261" s="215">
        <f>D248-C260</f>
        <v>1</v>
      </c>
    </row>
    <row r="264" spans="2:7" ht="18.600000000000001" thickBot="1" x14ac:dyDescent="0.35">
      <c r="B264" s="76" t="s">
        <v>558</v>
      </c>
      <c r="C264" s="77"/>
      <c r="D264" s="77"/>
      <c r="E264" s="77"/>
      <c r="F264" s="77"/>
      <c r="G264" s="77"/>
    </row>
    <row r="266" spans="2:7" x14ac:dyDescent="0.3">
      <c r="B266" s="408" t="s">
        <v>436</v>
      </c>
      <c r="C266" s="408"/>
      <c r="D266">
        <v>1</v>
      </c>
    </row>
    <row r="267" spans="2:7" x14ac:dyDescent="0.3">
      <c r="B267" s="408" t="s">
        <v>330</v>
      </c>
      <c r="C267" s="408"/>
      <c r="D267">
        <v>60</v>
      </c>
    </row>
    <row r="268" spans="2:7" x14ac:dyDescent="0.3">
      <c r="B268" s="405" t="s">
        <v>438</v>
      </c>
      <c r="C268" s="405"/>
      <c r="D268" s="63">
        <f>D267/D266</f>
        <v>60</v>
      </c>
    </row>
    <row r="270" spans="2:7" ht="43.2" x14ac:dyDescent="0.3">
      <c r="B270" s="31" t="s">
        <v>327</v>
      </c>
      <c r="C270" s="32" t="s">
        <v>331</v>
      </c>
      <c r="D270" s="32" t="s">
        <v>439</v>
      </c>
      <c r="E270" s="212" t="s">
        <v>379</v>
      </c>
      <c r="F270" s="212" t="s">
        <v>440</v>
      </c>
      <c r="G270" s="67" t="s">
        <v>332</v>
      </c>
    </row>
    <row r="271" spans="2:7" x14ac:dyDescent="0.3">
      <c r="B271" s="84" t="s">
        <v>246</v>
      </c>
      <c r="C271" s="82">
        <v>23</v>
      </c>
      <c r="D271" s="82">
        <f>TRUNC(C271/$D$268)</f>
        <v>0</v>
      </c>
      <c r="E271" s="86">
        <f>C271-D271*$D$268</f>
        <v>23</v>
      </c>
      <c r="F271" s="82">
        <v>1</v>
      </c>
      <c r="G271" s="233">
        <v>1</v>
      </c>
    </row>
    <row r="272" spans="2:7" x14ac:dyDescent="0.3">
      <c r="B272" s="211" t="s">
        <v>361</v>
      </c>
      <c r="C272" s="16">
        <v>13</v>
      </c>
      <c r="D272" s="16">
        <f t="shared" ref="D272:D276" si="30">TRUNC(C272/$D$268)</f>
        <v>0</v>
      </c>
      <c r="E272" s="16">
        <f t="shared" ref="E272:E276" si="31">C272-D272*$D$268</f>
        <v>13</v>
      </c>
      <c r="F272" s="16">
        <v>0</v>
      </c>
      <c r="G272" s="232">
        <v>0</v>
      </c>
    </row>
    <row r="273" spans="2:7" x14ac:dyDescent="0.3">
      <c r="B273" s="84" t="s">
        <v>362</v>
      </c>
      <c r="C273" s="82">
        <v>13</v>
      </c>
      <c r="D273" s="82">
        <f t="shared" si="30"/>
        <v>0</v>
      </c>
      <c r="E273" s="82">
        <f t="shared" si="31"/>
        <v>13</v>
      </c>
      <c r="F273" s="82">
        <v>0</v>
      </c>
      <c r="G273" s="233">
        <v>0</v>
      </c>
    </row>
    <row r="274" spans="2:7" x14ac:dyDescent="0.3">
      <c r="B274" s="211" t="s">
        <v>363</v>
      </c>
      <c r="C274" s="16">
        <v>6</v>
      </c>
      <c r="D274" s="16">
        <f t="shared" si="30"/>
        <v>0</v>
      </c>
      <c r="E274" s="16">
        <f t="shared" si="31"/>
        <v>6</v>
      </c>
      <c r="F274" s="16">
        <v>0</v>
      </c>
      <c r="G274" s="232">
        <v>0</v>
      </c>
    </row>
    <row r="275" spans="2:7" x14ac:dyDescent="0.3">
      <c r="B275" s="84" t="s">
        <v>247</v>
      </c>
      <c r="C275" s="82">
        <v>3</v>
      </c>
      <c r="D275" s="82">
        <f t="shared" si="30"/>
        <v>0</v>
      </c>
      <c r="E275" s="82">
        <f t="shared" si="31"/>
        <v>3</v>
      </c>
      <c r="F275" s="82">
        <v>0</v>
      </c>
      <c r="G275" s="233">
        <v>0</v>
      </c>
    </row>
    <row r="276" spans="2:7" x14ac:dyDescent="0.3">
      <c r="B276" s="107" t="s">
        <v>248</v>
      </c>
      <c r="C276" s="104">
        <v>2</v>
      </c>
      <c r="D276" s="104">
        <f t="shared" si="30"/>
        <v>0</v>
      </c>
      <c r="E276" s="104">
        <f t="shared" si="31"/>
        <v>2</v>
      </c>
      <c r="F276" s="104">
        <v>0</v>
      </c>
      <c r="G276" s="136">
        <v>0</v>
      </c>
    </row>
    <row r="277" spans="2:7" x14ac:dyDescent="0.3">
      <c r="C277" s="216">
        <f>SUM(D271:D276)</f>
        <v>0</v>
      </c>
      <c r="G277" s="233">
        <f>SUM(G271:G276)</f>
        <v>1</v>
      </c>
    </row>
    <row r="278" spans="2:7" x14ac:dyDescent="0.3">
      <c r="C278" s="215">
        <f>D266-C277</f>
        <v>1</v>
      </c>
    </row>
    <row r="281" spans="2:7" ht="18.600000000000001" thickBot="1" x14ac:dyDescent="0.35">
      <c r="B281" s="76" t="s">
        <v>559</v>
      </c>
      <c r="C281" s="77"/>
      <c r="D281" s="77"/>
      <c r="E281" s="77"/>
      <c r="F281" s="77"/>
      <c r="G281" s="77"/>
    </row>
    <row r="283" spans="2:7" x14ac:dyDescent="0.3">
      <c r="B283" s="408" t="s">
        <v>436</v>
      </c>
      <c r="C283" s="408"/>
      <c r="D283">
        <v>1</v>
      </c>
    </row>
    <row r="284" spans="2:7" x14ac:dyDescent="0.3">
      <c r="B284" s="408" t="s">
        <v>330</v>
      </c>
      <c r="C284" s="408"/>
      <c r="D284">
        <v>71</v>
      </c>
    </row>
    <row r="285" spans="2:7" x14ac:dyDescent="0.3">
      <c r="B285" s="405" t="s">
        <v>438</v>
      </c>
      <c r="C285" s="405"/>
      <c r="D285" s="63">
        <f>D284/D283</f>
        <v>71</v>
      </c>
    </row>
    <row r="287" spans="2:7" ht="43.2" x14ac:dyDescent="0.3">
      <c r="B287" s="31" t="s">
        <v>327</v>
      </c>
      <c r="C287" s="32" t="s">
        <v>331</v>
      </c>
      <c r="D287" s="32" t="s">
        <v>439</v>
      </c>
      <c r="E287" s="212" t="s">
        <v>379</v>
      </c>
      <c r="F287" s="212" t="s">
        <v>440</v>
      </c>
      <c r="G287" s="67" t="s">
        <v>332</v>
      </c>
    </row>
    <row r="288" spans="2:7" x14ac:dyDescent="0.3">
      <c r="B288" s="84" t="s">
        <v>364</v>
      </c>
      <c r="C288" s="82">
        <v>38</v>
      </c>
      <c r="D288" s="82">
        <f>TRUNC(C288/$D$285)</f>
        <v>0</v>
      </c>
      <c r="E288" s="86">
        <f>C288-D288*$D$285</f>
        <v>38</v>
      </c>
      <c r="F288" s="82">
        <v>1</v>
      </c>
      <c r="G288" s="233">
        <v>1</v>
      </c>
    </row>
    <row r="289" spans="2:7" x14ac:dyDescent="0.3">
      <c r="B289" s="211" t="s">
        <v>259</v>
      </c>
      <c r="C289" s="16">
        <v>31</v>
      </c>
      <c r="D289" s="16">
        <f t="shared" ref="D289:D290" si="32">TRUNC(C289/$D$285)</f>
        <v>0</v>
      </c>
      <c r="E289" s="16">
        <f t="shared" ref="E289:E290" si="33">C289-D289*$D$285</f>
        <v>31</v>
      </c>
      <c r="F289" s="16">
        <v>0</v>
      </c>
      <c r="G289" s="232">
        <v>0</v>
      </c>
    </row>
    <row r="290" spans="2:7" x14ac:dyDescent="0.3">
      <c r="B290" s="98" t="s">
        <v>44</v>
      </c>
      <c r="C290" s="90">
        <v>2</v>
      </c>
      <c r="D290" s="90">
        <f t="shared" si="32"/>
        <v>0</v>
      </c>
      <c r="E290" s="90">
        <f t="shared" si="33"/>
        <v>2</v>
      </c>
      <c r="F290" s="90">
        <v>0</v>
      </c>
      <c r="G290" s="234">
        <v>0</v>
      </c>
    </row>
    <row r="291" spans="2:7" x14ac:dyDescent="0.3">
      <c r="C291" s="216">
        <f>SUM(D288:D290)</f>
        <v>0</v>
      </c>
      <c r="G291" s="233">
        <f>SUM(G288:G290)</f>
        <v>1</v>
      </c>
    </row>
    <row r="292" spans="2:7" x14ac:dyDescent="0.3">
      <c r="C292" s="215">
        <f>D283-C291</f>
        <v>1</v>
      </c>
    </row>
    <row r="295" spans="2:7" ht="18.600000000000001" thickBot="1" x14ac:dyDescent="0.35">
      <c r="B295" s="76" t="s">
        <v>365</v>
      </c>
      <c r="C295" s="77"/>
      <c r="D295" s="77"/>
      <c r="E295" s="77"/>
      <c r="F295" s="77"/>
      <c r="G295" s="77"/>
    </row>
    <row r="297" spans="2:7" x14ac:dyDescent="0.3">
      <c r="B297" s="408" t="s">
        <v>436</v>
      </c>
      <c r="C297" s="408"/>
      <c r="D297" s="62">
        <v>5</v>
      </c>
    </row>
    <row r="298" spans="2:7" x14ac:dyDescent="0.3">
      <c r="B298" s="408" t="s">
        <v>539</v>
      </c>
      <c r="C298" s="408"/>
      <c r="D298">
        <f>150+75</f>
        <v>225</v>
      </c>
    </row>
    <row r="299" spans="2:7" x14ac:dyDescent="0.3">
      <c r="B299" s="405" t="s">
        <v>438</v>
      </c>
      <c r="C299" s="405"/>
      <c r="D299" s="63">
        <f>D298/D297</f>
        <v>45</v>
      </c>
    </row>
    <row r="301" spans="2:7" ht="43.2" x14ac:dyDescent="0.3">
      <c r="B301" s="31" t="s">
        <v>327</v>
      </c>
      <c r="C301" s="32" t="s">
        <v>331</v>
      </c>
      <c r="D301" s="32" t="s">
        <v>439</v>
      </c>
      <c r="E301" s="212" t="s">
        <v>379</v>
      </c>
      <c r="F301" s="212" t="s">
        <v>440</v>
      </c>
      <c r="G301" s="67" t="s">
        <v>332</v>
      </c>
    </row>
    <row r="302" spans="2:7" x14ac:dyDescent="0.3">
      <c r="B302" s="84" t="s">
        <v>366</v>
      </c>
      <c r="C302" s="82">
        <f>40+13</f>
        <v>53</v>
      </c>
      <c r="D302" s="82">
        <f>TRUNC(C302/$D$299)</f>
        <v>1</v>
      </c>
      <c r="E302" s="82">
        <f>C302-D302*$D$299</f>
        <v>8</v>
      </c>
      <c r="F302" s="82">
        <v>0</v>
      </c>
      <c r="G302" s="233">
        <v>1</v>
      </c>
    </row>
    <row r="303" spans="2:7" x14ac:dyDescent="0.3">
      <c r="B303" s="211" t="s">
        <v>367</v>
      </c>
      <c r="C303" s="16">
        <f>35+8</f>
        <v>43</v>
      </c>
      <c r="D303" s="16">
        <f t="shared" ref="D303:D313" si="34">TRUNC(C303/$D$299)</f>
        <v>0</v>
      </c>
      <c r="E303" s="87">
        <f t="shared" ref="E303:E313" si="35">C303-D303*$D$299</f>
        <v>43</v>
      </c>
      <c r="F303" s="16">
        <v>1</v>
      </c>
      <c r="G303" s="232">
        <v>1</v>
      </c>
    </row>
    <row r="304" spans="2:7" x14ac:dyDescent="0.3">
      <c r="B304" s="84" t="s">
        <v>264</v>
      </c>
      <c r="C304" s="82">
        <f>9+15</f>
        <v>24</v>
      </c>
      <c r="D304" s="82">
        <f t="shared" si="34"/>
        <v>0</v>
      </c>
      <c r="E304" s="86">
        <f t="shared" si="35"/>
        <v>24</v>
      </c>
      <c r="F304" s="82">
        <v>1</v>
      </c>
      <c r="G304" s="233">
        <v>1</v>
      </c>
    </row>
    <row r="305" spans="2:7" x14ac:dyDescent="0.3">
      <c r="B305" s="211" t="s">
        <v>265</v>
      </c>
      <c r="C305" s="16">
        <f>13+12</f>
        <v>25</v>
      </c>
      <c r="D305" s="16">
        <f t="shared" si="34"/>
        <v>0</v>
      </c>
      <c r="E305" s="87">
        <f t="shared" si="35"/>
        <v>25</v>
      </c>
      <c r="F305" s="16">
        <v>1</v>
      </c>
      <c r="G305" s="232">
        <v>1</v>
      </c>
    </row>
    <row r="306" spans="2:7" x14ac:dyDescent="0.3">
      <c r="B306" s="11" t="s">
        <v>266</v>
      </c>
      <c r="C306" s="82">
        <f>12+9</f>
        <v>21</v>
      </c>
      <c r="D306" s="82">
        <f t="shared" si="34"/>
        <v>0</v>
      </c>
      <c r="E306" s="82">
        <f t="shared" si="35"/>
        <v>21</v>
      </c>
      <c r="F306" s="82">
        <v>0</v>
      </c>
      <c r="G306" s="233">
        <v>0</v>
      </c>
    </row>
    <row r="307" spans="2:7" x14ac:dyDescent="0.3">
      <c r="B307" s="12" t="s">
        <v>267</v>
      </c>
      <c r="C307" s="16">
        <f>12+10</f>
        <v>22</v>
      </c>
      <c r="D307" s="16">
        <f t="shared" si="34"/>
        <v>0</v>
      </c>
      <c r="E307" s="87">
        <f t="shared" si="35"/>
        <v>22</v>
      </c>
      <c r="F307" s="16">
        <v>1</v>
      </c>
      <c r="G307" s="232">
        <v>1</v>
      </c>
    </row>
    <row r="308" spans="2:7" x14ac:dyDescent="0.3">
      <c r="B308" s="84" t="s">
        <v>268</v>
      </c>
      <c r="C308" s="82">
        <f>5+3</f>
        <v>8</v>
      </c>
      <c r="D308" s="82">
        <f t="shared" si="34"/>
        <v>0</v>
      </c>
      <c r="E308" s="82">
        <f t="shared" si="35"/>
        <v>8</v>
      </c>
      <c r="F308" s="82">
        <v>0</v>
      </c>
      <c r="G308" s="233">
        <v>0</v>
      </c>
    </row>
    <row r="309" spans="2:7" x14ac:dyDescent="0.3">
      <c r="B309" s="211" t="s">
        <v>269</v>
      </c>
      <c r="C309" s="16">
        <f>4+4</f>
        <v>8</v>
      </c>
      <c r="D309" s="16">
        <f t="shared" si="34"/>
        <v>0</v>
      </c>
      <c r="E309" s="16">
        <f t="shared" si="35"/>
        <v>8</v>
      </c>
      <c r="F309" s="16">
        <v>0</v>
      </c>
      <c r="G309" s="232">
        <v>0</v>
      </c>
    </row>
    <row r="310" spans="2:7" x14ac:dyDescent="0.3">
      <c r="B310" s="84" t="s">
        <v>270</v>
      </c>
      <c r="C310" s="82">
        <f>3+2</f>
        <v>5</v>
      </c>
      <c r="D310" s="82">
        <f t="shared" si="34"/>
        <v>0</v>
      </c>
      <c r="E310" s="82">
        <f t="shared" si="35"/>
        <v>5</v>
      </c>
      <c r="F310" s="82">
        <v>0</v>
      </c>
      <c r="G310" s="233">
        <v>0</v>
      </c>
    </row>
    <row r="311" spans="2:7" x14ac:dyDescent="0.3">
      <c r="B311" s="211" t="s">
        <v>271</v>
      </c>
      <c r="C311" s="16">
        <f>2+2</f>
        <v>4</v>
      </c>
      <c r="D311" s="16">
        <f t="shared" si="34"/>
        <v>0</v>
      </c>
      <c r="E311" s="16">
        <f t="shared" si="35"/>
        <v>4</v>
      </c>
      <c r="F311" s="16">
        <v>0</v>
      </c>
      <c r="G311" s="232">
        <v>0</v>
      </c>
    </row>
    <row r="312" spans="2:7" x14ac:dyDescent="0.3">
      <c r="B312" s="84" t="s">
        <v>272</v>
      </c>
      <c r="C312" s="82">
        <f>1+2</f>
        <v>3</v>
      </c>
      <c r="D312" s="82">
        <f t="shared" si="34"/>
        <v>0</v>
      </c>
      <c r="E312" s="82">
        <f t="shared" si="35"/>
        <v>3</v>
      </c>
      <c r="F312" s="82">
        <v>0</v>
      </c>
      <c r="G312" s="233">
        <v>0</v>
      </c>
    </row>
    <row r="313" spans="2:7" x14ac:dyDescent="0.3">
      <c r="B313" s="107" t="s">
        <v>44</v>
      </c>
      <c r="C313" s="104">
        <f>8+1</f>
        <v>9</v>
      </c>
      <c r="D313" s="104">
        <f t="shared" si="34"/>
        <v>0</v>
      </c>
      <c r="E313" s="104">
        <f t="shared" si="35"/>
        <v>9</v>
      </c>
      <c r="F313" s="104">
        <v>0</v>
      </c>
      <c r="G313" s="136">
        <v>0</v>
      </c>
    </row>
    <row r="314" spans="2:7" x14ac:dyDescent="0.3">
      <c r="C314" s="216">
        <f>SUM(D302:D313)</f>
        <v>1</v>
      </c>
      <c r="G314" s="233">
        <f>SUM(G302:G313)</f>
        <v>5</v>
      </c>
    </row>
    <row r="315" spans="2:7" x14ac:dyDescent="0.3">
      <c r="C315" s="215">
        <f>D297-C314</f>
        <v>4</v>
      </c>
    </row>
    <row r="318" spans="2:7" ht="18.600000000000001" thickBot="1" x14ac:dyDescent="0.35">
      <c r="B318" s="76" t="s">
        <v>560</v>
      </c>
      <c r="C318" s="77"/>
      <c r="D318" s="77"/>
      <c r="E318" s="77"/>
      <c r="F318" s="77"/>
      <c r="G318" s="77"/>
    </row>
    <row r="320" spans="2:7" x14ac:dyDescent="0.3">
      <c r="B320" s="408" t="s">
        <v>436</v>
      </c>
      <c r="C320" s="408"/>
      <c r="D320" s="62">
        <f>'Infos zone€'!G21</f>
        <v>3</v>
      </c>
    </row>
    <row r="321" spans="2:7" x14ac:dyDescent="0.3">
      <c r="B321" s="408" t="s">
        <v>330</v>
      </c>
      <c r="C321" s="408"/>
      <c r="D321">
        <v>230</v>
      </c>
    </row>
    <row r="322" spans="2:7" x14ac:dyDescent="0.3">
      <c r="B322" s="405" t="s">
        <v>438</v>
      </c>
      <c r="C322" s="405"/>
      <c r="D322" s="138">
        <f>D321/D320</f>
        <v>76.666666666666671</v>
      </c>
    </row>
    <row r="324" spans="2:7" ht="43.2" x14ac:dyDescent="0.3">
      <c r="B324" s="31" t="s">
        <v>327</v>
      </c>
      <c r="C324" s="32" t="s">
        <v>331</v>
      </c>
      <c r="D324" s="32" t="s">
        <v>439</v>
      </c>
      <c r="E324" s="212" t="s">
        <v>379</v>
      </c>
      <c r="F324" s="212" t="s">
        <v>440</v>
      </c>
      <c r="G324" s="67" t="s">
        <v>332</v>
      </c>
    </row>
    <row r="325" spans="2:7" x14ac:dyDescent="0.3">
      <c r="B325" s="84" t="s">
        <v>287</v>
      </c>
      <c r="C325" s="82">
        <v>89</v>
      </c>
      <c r="D325" s="82">
        <f>TRUNC(C325/$D$322)</f>
        <v>1</v>
      </c>
      <c r="E325" s="252">
        <f>C325-D325*$D$322</f>
        <v>12.333333333333329</v>
      </c>
      <c r="F325" s="82">
        <v>0</v>
      </c>
      <c r="G325" s="233">
        <v>1</v>
      </c>
    </row>
    <row r="326" spans="2:7" x14ac:dyDescent="0.3">
      <c r="B326" s="211" t="s">
        <v>368</v>
      </c>
      <c r="C326" s="16">
        <v>86</v>
      </c>
      <c r="D326" s="16">
        <f t="shared" ref="D326:D331" si="36">TRUNC(C326/$D$322)</f>
        <v>1</v>
      </c>
      <c r="E326" s="253">
        <f t="shared" ref="E326:E331" si="37">C326-D326*$D$322</f>
        <v>9.3333333333333286</v>
      </c>
      <c r="F326" s="16">
        <v>0</v>
      </c>
      <c r="G326" s="232">
        <v>1</v>
      </c>
    </row>
    <row r="327" spans="2:7" x14ac:dyDescent="0.3">
      <c r="B327" s="84" t="s">
        <v>369</v>
      </c>
      <c r="C327" s="82">
        <v>19</v>
      </c>
      <c r="D327" s="82">
        <f t="shared" si="36"/>
        <v>0</v>
      </c>
      <c r="E327" s="86">
        <f t="shared" si="37"/>
        <v>19</v>
      </c>
      <c r="F327" s="82">
        <v>1</v>
      </c>
      <c r="G327" s="233">
        <v>1</v>
      </c>
    </row>
    <row r="328" spans="2:7" x14ac:dyDescent="0.3">
      <c r="B328" s="211" t="s">
        <v>288</v>
      </c>
      <c r="C328" s="16">
        <v>18</v>
      </c>
      <c r="D328" s="16">
        <f t="shared" si="36"/>
        <v>0</v>
      </c>
      <c r="E328" s="16">
        <f t="shared" si="37"/>
        <v>18</v>
      </c>
      <c r="F328" s="16">
        <v>0</v>
      </c>
      <c r="G328" s="232">
        <v>0</v>
      </c>
    </row>
    <row r="329" spans="2:7" x14ac:dyDescent="0.3">
      <c r="B329" s="11" t="s">
        <v>370</v>
      </c>
      <c r="C329" s="82">
        <v>15</v>
      </c>
      <c r="D329" s="82">
        <f t="shared" si="36"/>
        <v>0</v>
      </c>
      <c r="E329" s="82">
        <f t="shared" si="37"/>
        <v>15</v>
      </c>
      <c r="F329" s="82">
        <v>0</v>
      </c>
      <c r="G329" s="233">
        <v>0</v>
      </c>
    </row>
    <row r="330" spans="2:7" x14ac:dyDescent="0.3">
      <c r="B330" s="12" t="s">
        <v>371</v>
      </c>
      <c r="C330" s="16">
        <v>2</v>
      </c>
      <c r="D330" s="16">
        <f t="shared" si="36"/>
        <v>0</v>
      </c>
      <c r="E330" s="16">
        <f t="shared" si="37"/>
        <v>2</v>
      </c>
      <c r="F330" s="16">
        <v>0</v>
      </c>
      <c r="G330" s="232">
        <v>0</v>
      </c>
    </row>
    <row r="331" spans="2:7" x14ac:dyDescent="0.3">
      <c r="B331" s="98" t="s">
        <v>289</v>
      </c>
      <c r="C331" s="90">
        <v>1</v>
      </c>
      <c r="D331" s="90">
        <f t="shared" si="36"/>
        <v>0</v>
      </c>
      <c r="E331" s="90">
        <f t="shared" si="37"/>
        <v>1</v>
      </c>
      <c r="F331" s="90">
        <v>0</v>
      </c>
      <c r="G331" s="234">
        <v>0</v>
      </c>
    </row>
    <row r="332" spans="2:7" x14ac:dyDescent="0.3">
      <c r="C332" s="216">
        <f>SUM(D325:D331)</f>
        <v>2</v>
      </c>
      <c r="G332" s="233">
        <f>SUM(G325:G331)</f>
        <v>3</v>
      </c>
    </row>
    <row r="333" spans="2:7" x14ac:dyDescent="0.3">
      <c r="C333" s="215">
        <f>D320-C332</f>
        <v>1</v>
      </c>
    </row>
    <row r="334" spans="2:7" x14ac:dyDescent="0.3">
      <c r="C334" s="131"/>
    </row>
    <row r="335" spans="2:7" x14ac:dyDescent="0.3">
      <c r="C335" s="131"/>
    </row>
    <row r="336" spans="2:7" ht="18.600000000000001" thickBot="1" x14ac:dyDescent="0.35">
      <c r="B336" s="76" t="s">
        <v>561</v>
      </c>
      <c r="C336" s="77"/>
      <c r="D336" s="77"/>
      <c r="E336" s="77"/>
      <c r="F336" s="77"/>
      <c r="G336" s="77"/>
    </row>
    <row r="338" spans="2:7" x14ac:dyDescent="0.3">
      <c r="B338" s="408" t="s">
        <v>436</v>
      </c>
      <c r="C338" s="408"/>
      <c r="D338" s="62">
        <v>2</v>
      </c>
    </row>
    <row r="339" spans="2:7" x14ac:dyDescent="0.3">
      <c r="B339" s="408" t="s">
        <v>330</v>
      </c>
      <c r="C339" s="408"/>
      <c r="D339">
        <v>150</v>
      </c>
    </row>
    <row r="340" spans="2:7" x14ac:dyDescent="0.3">
      <c r="B340" s="405" t="s">
        <v>438</v>
      </c>
      <c r="C340" s="405"/>
      <c r="D340" s="63">
        <f>D339/D338</f>
        <v>75</v>
      </c>
    </row>
    <row r="342" spans="2:7" ht="43.2" x14ac:dyDescent="0.3">
      <c r="B342" s="31" t="s">
        <v>327</v>
      </c>
      <c r="C342" s="32" t="s">
        <v>331</v>
      </c>
      <c r="D342" s="32" t="s">
        <v>439</v>
      </c>
      <c r="E342" s="212" t="s">
        <v>379</v>
      </c>
      <c r="F342" s="212" t="s">
        <v>440</v>
      </c>
      <c r="G342" s="67" t="s">
        <v>332</v>
      </c>
    </row>
    <row r="343" spans="2:7" x14ac:dyDescent="0.3">
      <c r="B343" s="169" t="s">
        <v>372</v>
      </c>
      <c r="C343" s="10">
        <v>49</v>
      </c>
      <c r="D343" s="10">
        <f>TRUNC(C343/$D$340)</f>
        <v>0</v>
      </c>
      <c r="E343" s="151">
        <f>C343-D343*$D$340</f>
        <v>49</v>
      </c>
      <c r="F343" s="82">
        <v>1</v>
      </c>
      <c r="G343" s="233">
        <v>1</v>
      </c>
    </row>
    <row r="344" spans="2:7" x14ac:dyDescent="0.3">
      <c r="B344" s="170" t="s">
        <v>297</v>
      </c>
      <c r="C344" s="13">
        <v>21</v>
      </c>
      <c r="D344" s="13">
        <f t="shared" ref="D344:D350" si="38">TRUNC(C344/$D$340)</f>
        <v>0</v>
      </c>
      <c r="E344" s="153">
        <f>C344-D344*$D$340</f>
        <v>21</v>
      </c>
      <c r="F344" s="16">
        <v>1</v>
      </c>
      <c r="G344" s="232">
        <v>1</v>
      </c>
    </row>
    <row r="345" spans="2:7" x14ac:dyDescent="0.3">
      <c r="B345" s="169" t="s">
        <v>298</v>
      </c>
      <c r="C345" s="10">
        <v>19</v>
      </c>
      <c r="D345" s="10">
        <f t="shared" si="38"/>
        <v>0</v>
      </c>
      <c r="E345" s="10">
        <f>C345-D345*$D$340</f>
        <v>19</v>
      </c>
      <c r="F345" s="82">
        <v>0</v>
      </c>
      <c r="G345" s="233">
        <v>0</v>
      </c>
    </row>
    <row r="346" spans="2:7" x14ac:dyDescent="0.3">
      <c r="B346" s="170" t="s">
        <v>373</v>
      </c>
      <c r="C346" s="13">
        <v>15</v>
      </c>
      <c r="D346" s="13">
        <f t="shared" si="38"/>
        <v>0</v>
      </c>
      <c r="E346" s="13">
        <f>C346-D346*$D$340</f>
        <v>15</v>
      </c>
      <c r="F346" s="16">
        <v>0</v>
      </c>
      <c r="G346" s="232">
        <v>0</v>
      </c>
    </row>
    <row r="347" spans="2:7" x14ac:dyDescent="0.3">
      <c r="B347" s="169" t="s">
        <v>299</v>
      </c>
      <c r="C347" s="10">
        <v>14</v>
      </c>
      <c r="D347" s="10">
        <f t="shared" si="38"/>
        <v>0</v>
      </c>
      <c r="E347" s="10">
        <f t="shared" ref="E347:E350" si="39">C347-D347*$D$340</f>
        <v>14</v>
      </c>
      <c r="F347" s="82">
        <v>0</v>
      </c>
      <c r="G347" s="233">
        <v>0</v>
      </c>
    </row>
    <row r="348" spans="2:7" x14ac:dyDescent="0.3">
      <c r="B348" s="170" t="s">
        <v>374</v>
      </c>
      <c r="C348" s="13">
        <v>11</v>
      </c>
      <c r="D348" s="13">
        <f t="shared" si="38"/>
        <v>0</v>
      </c>
      <c r="E348" s="13">
        <f t="shared" si="39"/>
        <v>11</v>
      </c>
      <c r="F348" s="16">
        <v>0</v>
      </c>
      <c r="G348" s="232">
        <v>0</v>
      </c>
    </row>
    <row r="349" spans="2:7" x14ac:dyDescent="0.3">
      <c r="B349" s="169" t="s">
        <v>300</v>
      </c>
      <c r="C349" s="10">
        <v>11</v>
      </c>
      <c r="D349" s="10">
        <f t="shared" si="38"/>
        <v>0</v>
      </c>
      <c r="E349" s="10">
        <f t="shared" si="39"/>
        <v>11</v>
      </c>
      <c r="F349" s="82">
        <v>0</v>
      </c>
      <c r="G349" s="233">
        <v>0</v>
      </c>
    </row>
    <row r="350" spans="2:7" x14ac:dyDescent="0.3">
      <c r="B350" s="171" t="s">
        <v>375</v>
      </c>
      <c r="C350" s="64">
        <v>10</v>
      </c>
      <c r="D350" s="64">
        <f t="shared" si="38"/>
        <v>0</v>
      </c>
      <c r="E350" s="64">
        <f t="shared" si="39"/>
        <v>10</v>
      </c>
      <c r="F350" s="104">
        <v>0</v>
      </c>
      <c r="G350" s="136">
        <v>0</v>
      </c>
    </row>
    <row r="351" spans="2:7" x14ac:dyDescent="0.3">
      <c r="C351" s="216">
        <f>SUM(D343:D350)</f>
        <v>0</v>
      </c>
      <c r="G351" s="233">
        <v>2</v>
      </c>
    </row>
    <row r="352" spans="2:7" x14ac:dyDescent="0.3">
      <c r="C352" s="215">
        <f>D338-C351</f>
        <v>2</v>
      </c>
    </row>
    <row r="355" spans="2:7" ht="18.600000000000001" thickBot="1" x14ac:dyDescent="0.35">
      <c r="B355" s="76" t="s">
        <v>562</v>
      </c>
      <c r="C355" s="77"/>
      <c r="D355" s="77"/>
      <c r="E355" s="77"/>
      <c r="F355" s="77"/>
      <c r="G355" s="77"/>
    </row>
    <row r="357" spans="2:7" x14ac:dyDescent="0.3">
      <c r="B357" s="408" t="s">
        <v>436</v>
      </c>
      <c r="C357" s="408"/>
      <c r="D357" s="62">
        <f>'Infos zone€'!G16</f>
        <v>1</v>
      </c>
    </row>
    <row r="358" spans="2:7" x14ac:dyDescent="0.3">
      <c r="B358" s="408" t="s">
        <v>330</v>
      </c>
      <c r="C358" s="408"/>
      <c r="D358">
        <v>90</v>
      </c>
    </row>
    <row r="359" spans="2:7" x14ac:dyDescent="0.3">
      <c r="B359" s="405" t="s">
        <v>438</v>
      </c>
      <c r="C359" s="405"/>
      <c r="D359" s="63">
        <f>D358/D357</f>
        <v>90</v>
      </c>
    </row>
    <row r="361" spans="2:7" ht="43.2" x14ac:dyDescent="0.3">
      <c r="B361" s="31" t="s">
        <v>327</v>
      </c>
      <c r="C361" s="32" t="s">
        <v>331</v>
      </c>
      <c r="D361" s="32" t="s">
        <v>439</v>
      </c>
      <c r="E361" s="212" t="s">
        <v>379</v>
      </c>
      <c r="F361" s="212" t="s">
        <v>440</v>
      </c>
      <c r="G361" s="67" t="s">
        <v>332</v>
      </c>
    </row>
    <row r="362" spans="2:7" x14ac:dyDescent="0.3">
      <c r="B362" s="84" t="s">
        <v>376</v>
      </c>
      <c r="C362" s="82">
        <v>36</v>
      </c>
      <c r="D362" s="82">
        <f>TRUNC(C362/$D$359)</f>
        <v>0</v>
      </c>
      <c r="E362" s="86">
        <f>C362-D362*$D$359</f>
        <v>36</v>
      </c>
      <c r="F362" s="82">
        <v>1</v>
      </c>
      <c r="G362" s="233">
        <v>1</v>
      </c>
    </row>
    <row r="363" spans="2:7" x14ac:dyDescent="0.3">
      <c r="B363" s="211" t="s">
        <v>311</v>
      </c>
      <c r="C363" s="16">
        <v>21</v>
      </c>
      <c r="D363" s="16">
        <f t="shared" ref="D363:D369" si="40">TRUNC(C363/$D$359)</f>
        <v>0</v>
      </c>
      <c r="E363" s="16">
        <f t="shared" ref="E363:E369" si="41">C363-D363*$D$359</f>
        <v>21</v>
      </c>
      <c r="F363" s="16">
        <v>0</v>
      </c>
      <c r="G363" s="232">
        <v>0</v>
      </c>
    </row>
    <row r="364" spans="2:7" x14ac:dyDescent="0.3">
      <c r="B364" s="84" t="s">
        <v>377</v>
      </c>
      <c r="C364" s="82">
        <v>10</v>
      </c>
      <c r="D364" s="82">
        <f t="shared" si="40"/>
        <v>0</v>
      </c>
      <c r="E364" s="82">
        <f t="shared" si="41"/>
        <v>10</v>
      </c>
      <c r="F364" s="82">
        <v>0</v>
      </c>
      <c r="G364" s="233">
        <v>0</v>
      </c>
    </row>
    <row r="365" spans="2:7" x14ac:dyDescent="0.3">
      <c r="B365" s="211" t="s">
        <v>378</v>
      </c>
      <c r="C365" s="16">
        <v>6</v>
      </c>
      <c r="D365" s="16">
        <f t="shared" si="40"/>
        <v>0</v>
      </c>
      <c r="E365" s="16">
        <f t="shared" si="41"/>
        <v>6</v>
      </c>
      <c r="F365" s="16">
        <v>0</v>
      </c>
      <c r="G365" s="232">
        <v>0</v>
      </c>
    </row>
    <row r="366" spans="2:7" x14ac:dyDescent="0.3">
      <c r="B366" s="11" t="s">
        <v>312</v>
      </c>
      <c r="C366" s="82">
        <v>6</v>
      </c>
      <c r="D366" s="82">
        <f t="shared" si="40"/>
        <v>0</v>
      </c>
      <c r="E366" s="82">
        <f t="shared" si="41"/>
        <v>6</v>
      </c>
      <c r="F366" s="82">
        <v>0</v>
      </c>
      <c r="G366" s="233">
        <v>0</v>
      </c>
    </row>
    <row r="367" spans="2:7" x14ac:dyDescent="0.3">
      <c r="B367" s="211" t="s">
        <v>313</v>
      </c>
      <c r="C367" s="16">
        <v>5</v>
      </c>
      <c r="D367" s="16">
        <f t="shared" si="40"/>
        <v>0</v>
      </c>
      <c r="E367" s="16">
        <f t="shared" si="41"/>
        <v>5</v>
      </c>
      <c r="F367" s="16">
        <v>0</v>
      </c>
      <c r="G367" s="232">
        <v>0</v>
      </c>
    </row>
    <row r="368" spans="2:7" x14ac:dyDescent="0.3">
      <c r="B368" s="11" t="s">
        <v>322</v>
      </c>
      <c r="C368" s="82">
        <v>4</v>
      </c>
      <c r="D368" s="82">
        <f t="shared" si="40"/>
        <v>0</v>
      </c>
      <c r="E368" s="82">
        <f t="shared" si="41"/>
        <v>4</v>
      </c>
      <c r="F368" s="82">
        <v>0</v>
      </c>
      <c r="G368" s="233">
        <v>0</v>
      </c>
    </row>
    <row r="369" spans="2:7" x14ac:dyDescent="0.3">
      <c r="B369" s="107" t="s">
        <v>314</v>
      </c>
      <c r="C369" s="104">
        <v>2</v>
      </c>
      <c r="D369" s="104">
        <f t="shared" si="40"/>
        <v>0</v>
      </c>
      <c r="E369" s="104">
        <f t="shared" si="41"/>
        <v>2</v>
      </c>
      <c r="F369" s="104">
        <v>0</v>
      </c>
      <c r="G369" s="136">
        <v>0</v>
      </c>
    </row>
    <row r="370" spans="2:7" x14ac:dyDescent="0.3">
      <c r="C370" s="216">
        <f>SUM(F362:F369)</f>
        <v>1</v>
      </c>
      <c r="G370" s="233">
        <f>SUM(G362:G369)</f>
        <v>1</v>
      </c>
    </row>
    <row r="371" spans="2:7" x14ac:dyDescent="0.3">
      <c r="C371" s="215">
        <f>D357-C370</f>
        <v>0</v>
      </c>
    </row>
  </sheetData>
  <mergeCells count="60">
    <mergeCell ref="B358:C358"/>
    <mergeCell ref="B359:C359"/>
    <mergeCell ref="A1:G1"/>
    <mergeCell ref="C18:D18"/>
    <mergeCell ref="C19:D19"/>
    <mergeCell ref="B339:C339"/>
    <mergeCell ref="B340:C340"/>
    <mergeCell ref="B357:C357"/>
    <mergeCell ref="B320:C320"/>
    <mergeCell ref="B321:C321"/>
    <mergeCell ref="B322:C322"/>
    <mergeCell ref="B338:C338"/>
    <mergeCell ref="B297:C297"/>
    <mergeCell ref="B298:C298"/>
    <mergeCell ref="B299:C299"/>
    <mergeCell ref="B283:C283"/>
    <mergeCell ref="B284:C284"/>
    <mergeCell ref="B285:C285"/>
    <mergeCell ref="B266:C266"/>
    <mergeCell ref="B267:C267"/>
    <mergeCell ref="B268:C268"/>
    <mergeCell ref="B232:C232"/>
    <mergeCell ref="B248:C248"/>
    <mergeCell ref="B249:C249"/>
    <mergeCell ref="B250:C250"/>
    <mergeCell ref="B206:C206"/>
    <mergeCell ref="B230:C230"/>
    <mergeCell ref="B231:C231"/>
    <mergeCell ref="B183:C183"/>
    <mergeCell ref="B184:C184"/>
    <mergeCell ref="B204:C204"/>
    <mergeCell ref="B205:C205"/>
    <mergeCell ref="B163:C163"/>
    <mergeCell ref="B164:C164"/>
    <mergeCell ref="B182:C182"/>
    <mergeCell ref="B139:C139"/>
    <mergeCell ref="B140:C140"/>
    <mergeCell ref="B162:C162"/>
    <mergeCell ref="B120:C120"/>
    <mergeCell ref="B121:C121"/>
    <mergeCell ref="B138:C138"/>
    <mergeCell ref="B102:C102"/>
    <mergeCell ref="B103:C103"/>
    <mergeCell ref="B104:C104"/>
    <mergeCell ref="B119:C119"/>
    <mergeCell ref="B84:C84"/>
    <mergeCell ref="B85:C85"/>
    <mergeCell ref="B86:C86"/>
    <mergeCell ref="B66:C66"/>
    <mergeCell ref="B67:C67"/>
    <mergeCell ref="B68:C68"/>
    <mergeCell ref="B42:C42"/>
    <mergeCell ref="B43:C43"/>
    <mergeCell ref="B44:C44"/>
    <mergeCell ref="B24:C24"/>
    <mergeCell ref="B25:C25"/>
    <mergeCell ref="B26:C26"/>
    <mergeCell ref="B7:C7"/>
    <mergeCell ref="B8:C8"/>
    <mergeCell ref="B9:C9"/>
  </mergeCells>
  <conditionalFormatting sqref="D163 D165">
    <cfRule type="top10" dxfId="4" priority="7" rank="1"/>
  </conditionalFormatting>
  <conditionalFormatting sqref="D323:D324">
    <cfRule type="top10" dxfId="3" priority="1" rank="1"/>
  </conditionalFormatting>
  <conditionalFormatting sqref="D228">
    <cfRule type="top10" priority="108" rank="1"/>
  </conditionalFormatting>
  <conditionalFormatting sqref="D228:D234">
    <cfRule type="top10" dxfId="2" priority="110" rank="1"/>
  </conditionalFormatting>
  <conditionalFormatting sqref="E228">
    <cfRule type="top10" priority="113" rank="1"/>
  </conditionalFormatting>
  <conditionalFormatting sqref="E228:E234">
    <cfRule type="top10" dxfId="1" priority="115" rank="1"/>
  </conditionalFormatting>
  <conditionalFormatting sqref="F228">
    <cfRule type="top10" priority="118" rank="1"/>
  </conditionalFormatting>
  <conditionalFormatting sqref="F228:F230">
    <cfRule type="top10" dxfId="0" priority="120" rank="1"/>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79998168889431442"/>
  </sheetPr>
  <dimension ref="B1:P98"/>
  <sheetViews>
    <sheetView showGridLines="0" topLeftCell="B1" zoomScale="80" zoomScaleNormal="80" zoomScalePageLayoutView="80" workbookViewId="0"/>
  </sheetViews>
  <sheetFormatPr baseColWidth="10" defaultColWidth="11" defaultRowHeight="15.6" x14ac:dyDescent="0.3"/>
  <cols>
    <col min="2" max="2" width="24.296875" customWidth="1"/>
    <col min="3" max="4" width="12.69921875" customWidth="1"/>
    <col min="6" max="6" width="24.296875" customWidth="1"/>
    <col min="7" max="8" width="12.69921875" customWidth="1"/>
    <col min="10" max="10" width="2.69921875" customWidth="1"/>
    <col min="11" max="11" width="21.796875" customWidth="1"/>
    <col min="12" max="12" width="18.69921875" bestFit="1" customWidth="1"/>
  </cols>
  <sheetData>
    <row r="1" spans="2:8" ht="18" customHeight="1" x14ac:dyDescent="0.3">
      <c r="B1" s="413" t="s">
        <v>563</v>
      </c>
      <c r="C1" s="413"/>
      <c r="D1" s="413"/>
      <c r="F1" s="413" t="s">
        <v>564</v>
      </c>
      <c r="G1" s="413"/>
      <c r="H1" s="413"/>
    </row>
    <row r="2" spans="2:8" x14ac:dyDescent="0.3">
      <c r="B2" s="414"/>
      <c r="C2" s="414"/>
      <c r="D2" s="414"/>
      <c r="F2" s="414"/>
      <c r="G2" s="414"/>
      <c r="H2" s="414"/>
    </row>
    <row r="3" spans="2:8" ht="36" x14ac:dyDescent="0.3">
      <c r="B3" s="277" t="s">
        <v>327</v>
      </c>
      <c r="C3" s="276" t="s">
        <v>455</v>
      </c>
      <c r="D3" s="183" t="s">
        <v>456</v>
      </c>
      <c r="F3" s="277" t="s">
        <v>327</v>
      </c>
      <c r="G3" s="276" t="s">
        <v>455</v>
      </c>
      <c r="H3" s="183" t="s">
        <v>456</v>
      </c>
    </row>
    <row r="4" spans="2:8" ht="46.8" x14ac:dyDescent="0.3">
      <c r="B4" s="278"/>
      <c r="C4" s="279" t="s">
        <v>476</v>
      </c>
      <c r="D4" s="210" t="s">
        <v>477</v>
      </c>
      <c r="F4" s="278"/>
      <c r="G4" s="279" t="s">
        <v>476</v>
      </c>
      <c r="H4" s="210" t="s">
        <v>477</v>
      </c>
    </row>
    <row r="5" spans="2:8" x14ac:dyDescent="0.3">
      <c r="B5" s="278"/>
      <c r="C5" s="278"/>
      <c r="D5" s="210"/>
      <c r="F5" s="278"/>
      <c r="G5" s="278"/>
      <c r="H5" s="210"/>
    </row>
    <row r="6" spans="2:8" ht="18.600000000000001" thickBot="1" x14ac:dyDescent="0.35">
      <c r="B6" s="76" t="s">
        <v>457</v>
      </c>
      <c r="C6" s="76"/>
      <c r="D6" s="76"/>
      <c r="F6" s="76" t="s">
        <v>457</v>
      </c>
      <c r="G6" s="76"/>
      <c r="H6" s="76"/>
    </row>
    <row r="7" spans="2:8" x14ac:dyDescent="0.3">
      <c r="B7" s="9" t="s">
        <v>328</v>
      </c>
      <c r="C7" s="72">
        <v>12</v>
      </c>
      <c r="D7" s="112">
        <v>12</v>
      </c>
      <c r="F7" s="202" t="s">
        <v>328</v>
      </c>
      <c r="G7" s="186">
        <v>12</v>
      </c>
      <c r="H7" s="281">
        <v>11</v>
      </c>
    </row>
    <row r="8" spans="2:8" x14ac:dyDescent="0.3">
      <c r="B8" s="65" t="s">
        <v>31</v>
      </c>
      <c r="C8" s="184">
        <v>8</v>
      </c>
      <c r="D8" s="185">
        <v>7</v>
      </c>
      <c r="F8" s="199" t="s">
        <v>31</v>
      </c>
      <c r="G8" s="73">
        <v>8</v>
      </c>
      <c r="H8" s="282">
        <v>8</v>
      </c>
    </row>
    <row r="9" spans="2:8" x14ac:dyDescent="0.3">
      <c r="B9" s="9" t="s">
        <v>34</v>
      </c>
      <c r="C9" s="186">
        <v>2</v>
      </c>
      <c r="D9" s="144">
        <v>3</v>
      </c>
      <c r="F9" s="202" t="s">
        <v>34</v>
      </c>
      <c r="G9" s="72">
        <v>2</v>
      </c>
      <c r="H9" s="235">
        <v>2</v>
      </c>
    </row>
    <row r="10" spans="2:8" x14ac:dyDescent="0.3">
      <c r="B10" s="66" t="s">
        <v>437</v>
      </c>
      <c r="C10" s="74">
        <v>2</v>
      </c>
      <c r="D10" s="146">
        <v>2</v>
      </c>
      <c r="F10" s="291" t="s">
        <v>437</v>
      </c>
      <c r="G10" s="280">
        <v>2</v>
      </c>
      <c r="H10" s="207">
        <v>3</v>
      </c>
    </row>
    <row r="12" spans="2:8" ht="18.600000000000001" thickBot="1" x14ac:dyDescent="0.35">
      <c r="B12" s="76" t="s">
        <v>458</v>
      </c>
      <c r="C12" s="76"/>
      <c r="D12" s="76"/>
      <c r="F12" s="76" t="s">
        <v>458</v>
      </c>
      <c r="G12" s="76"/>
      <c r="H12" s="76"/>
    </row>
    <row r="13" spans="2:8" x14ac:dyDescent="0.3">
      <c r="B13" s="194" t="s">
        <v>333</v>
      </c>
      <c r="C13" s="137">
        <v>1</v>
      </c>
      <c r="D13" s="137">
        <v>1</v>
      </c>
      <c r="F13" s="194" t="s">
        <v>333</v>
      </c>
      <c r="G13" s="137">
        <v>1</v>
      </c>
      <c r="H13" s="137">
        <v>1</v>
      </c>
    </row>
    <row r="14" spans="2:8" x14ac:dyDescent="0.3">
      <c r="B14" s="195" t="s">
        <v>62</v>
      </c>
      <c r="C14" s="187">
        <v>1</v>
      </c>
      <c r="D14" s="187">
        <v>1</v>
      </c>
      <c r="F14" s="195" t="s">
        <v>62</v>
      </c>
      <c r="G14" s="187">
        <v>1</v>
      </c>
      <c r="H14" s="187">
        <v>1</v>
      </c>
    </row>
    <row r="15" spans="2:8" x14ac:dyDescent="0.3">
      <c r="B15" s="196" t="s">
        <v>40</v>
      </c>
      <c r="C15" s="188">
        <v>1</v>
      </c>
      <c r="D15" s="188">
        <v>1</v>
      </c>
      <c r="F15" s="196" t="s">
        <v>40</v>
      </c>
      <c r="G15" s="188">
        <v>1</v>
      </c>
      <c r="H15" s="188">
        <v>1</v>
      </c>
    </row>
    <row r="17" spans="2:8" ht="18.600000000000001" thickBot="1" x14ac:dyDescent="0.35">
      <c r="B17" s="76" t="s">
        <v>459</v>
      </c>
      <c r="C17" s="76"/>
      <c r="D17" s="76"/>
      <c r="F17" s="76" t="s">
        <v>459</v>
      </c>
      <c r="G17" s="76"/>
      <c r="H17" s="76"/>
    </row>
    <row r="18" spans="2:8" x14ac:dyDescent="0.3">
      <c r="B18" s="194" t="s">
        <v>89</v>
      </c>
      <c r="C18" s="137">
        <v>1</v>
      </c>
      <c r="D18" s="137">
        <v>1</v>
      </c>
      <c r="F18" s="194" t="s">
        <v>89</v>
      </c>
      <c r="G18" s="137">
        <v>1</v>
      </c>
      <c r="H18" s="137">
        <v>1</v>
      </c>
    </row>
    <row r="19" spans="2:8" x14ac:dyDescent="0.3">
      <c r="B19" s="195" t="s">
        <v>66</v>
      </c>
      <c r="C19" s="187">
        <v>1</v>
      </c>
      <c r="D19" s="187">
        <v>1</v>
      </c>
      <c r="F19" s="195" t="s">
        <v>66</v>
      </c>
      <c r="G19" s="187">
        <v>1</v>
      </c>
      <c r="H19" s="187">
        <v>1</v>
      </c>
    </row>
    <row r="20" spans="2:8" x14ac:dyDescent="0.3">
      <c r="B20" s="196" t="s">
        <v>334</v>
      </c>
      <c r="C20" s="188">
        <v>1</v>
      </c>
      <c r="D20" s="188">
        <v>1</v>
      </c>
      <c r="F20" s="196" t="s">
        <v>334</v>
      </c>
      <c r="G20" s="188">
        <v>1</v>
      </c>
      <c r="H20" s="188">
        <v>1</v>
      </c>
    </row>
    <row r="22" spans="2:8" ht="18.600000000000001" thickBot="1" x14ac:dyDescent="0.35">
      <c r="B22" s="76" t="s">
        <v>460</v>
      </c>
      <c r="C22" s="76"/>
      <c r="D22" s="76"/>
      <c r="F22" s="76" t="s">
        <v>565</v>
      </c>
      <c r="G22" s="76"/>
      <c r="H22" s="76"/>
    </row>
    <row r="23" spans="2:8" x14ac:dyDescent="0.3">
      <c r="B23" s="197" t="s">
        <v>90</v>
      </c>
      <c r="C23" s="188">
        <v>1</v>
      </c>
      <c r="D23" s="188">
        <v>1</v>
      </c>
      <c r="F23" s="197" t="s">
        <v>90</v>
      </c>
      <c r="G23" s="188">
        <v>1</v>
      </c>
      <c r="H23" s="188">
        <v>1</v>
      </c>
    </row>
    <row r="25" spans="2:8" ht="18.600000000000001" thickBot="1" x14ac:dyDescent="0.35">
      <c r="B25" s="76" t="s">
        <v>461</v>
      </c>
      <c r="C25" s="76"/>
      <c r="D25" s="76"/>
      <c r="F25" s="76" t="s">
        <v>461</v>
      </c>
      <c r="G25" s="76"/>
      <c r="H25" s="76"/>
    </row>
    <row r="26" spans="2:8" x14ac:dyDescent="0.3">
      <c r="B26" s="198" t="s">
        <v>107</v>
      </c>
      <c r="C26" s="189">
        <v>4</v>
      </c>
      <c r="D26" s="189">
        <v>4</v>
      </c>
      <c r="F26" s="198" t="s">
        <v>107</v>
      </c>
      <c r="G26" s="151">
        <v>4</v>
      </c>
      <c r="H26" s="151">
        <v>3</v>
      </c>
    </row>
    <row r="27" spans="2:8" x14ac:dyDescent="0.3">
      <c r="B27" s="199" t="s">
        <v>120</v>
      </c>
      <c r="C27" s="190">
        <v>6</v>
      </c>
      <c r="D27" s="190">
        <v>6</v>
      </c>
      <c r="F27" s="199" t="s">
        <v>120</v>
      </c>
      <c r="G27" s="153">
        <v>8</v>
      </c>
      <c r="H27" s="153">
        <v>7</v>
      </c>
    </row>
    <row r="28" spans="2:8" x14ac:dyDescent="0.3">
      <c r="B28" s="202" t="s">
        <v>108</v>
      </c>
      <c r="C28" s="189">
        <v>3</v>
      </c>
      <c r="D28" s="189">
        <v>3</v>
      </c>
      <c r="F28" s="202" t="s">
        <v>108</v>
      </c>
      <c r="G28" s="189">
        <v>2</v>
      </c>
      <c r="H28" s="189">
        <v>2</v>
      </c>
    </row>
    <row r="29" spans="2:8" x14ac:dyDescent="0.3">
      <c r="B29" s="66" t="s">
        <v>121</v>
      </c>
      <c r="C29" s="74">
        <v>1</v>
      </c>
      <c r="D29" s="146">
        <v>1</v>
      </c>
      <c r="F29" s="195" t="s">
        <v>121</v>
      </c>
      <c r="G29" s="87">
        <v>0</v>
      </c>
      <c r="H29" s="87">
        <v>1</v>
      </c>
    </row>
    <row r="30" spans="2:8" x14ac:dyDescent="0.3">
      <c r="B30" s="415" t="s">
        <v>566</v>
      </c>
      <c r="C30" s="415"/>
      <c r="D30" s="415"/>
      <c r="F30" s="196" t="s">
        <v>110</v>
      </c>
      <c r="G30" s="192">
        <v>0</v>
      </c>
      <c r="H30" s="192">
        <v>1</v>
      </c>
    </row>
    <row r="32" spans="2:8" ht="18.600000000000001" thickBot="1" x14ac:dyDescent="0.35">
      <c r="B32" s="76" t="s">
        <v>462</v>
      </c>
      <c r="C32" s="76"/>
      <c r="D32" s="76"/>
      <c r="F32" s="76" t="s">
        <v>567</v>
      </c>
      <c r="G32" s="76"/>
      <c r="H32" s="76"/>
    </row>
    <row r="33" spans="2:16" x14ac:dyDescent="0.3">
      <c r="B33" s="200" t="s">
        <v>342</v>
      </c>
      <c r="C33" s="191">
        <v>1</v>
      </c>
      <c r="D33" s="191">
        <v>1</v>
      </c>
      <c r="F33" s="200" t="s">
        <v>342</v>
      </c>
      <c r="G33" s="191">
        <v>1</v>
      </c>
      <c r="H33" s="191">
        <v>1</v>
      </c>
    </row>
    <row r="35" spans="2:16" ht="18.600000000000001" thickBot="1" x14ac:dyDescent="0.35">
      <c r="B35" s="76" t="s">
        <v>463</v>
      </c>
      <c r="C35" s="76"/>
      <c r="D35" s="76"/>
      <c r="F35" s="76" t="s">
        <v>568</v>
      </c>
      <c r="G35" s="76"/>
      <c r="H35" s="76"/>
    </row>
    <row r="36" spans="2:16" x14ac:dyDescent="0.3">
      <c r="B36" s="203" t="s">
        <v>337</v>
      </c>
      <c r="C36" s="137">
        <v>1</v>
      </c>
      <c r="D36" s="137">
        <v>1</v>
      </c>
      <c r="F36" s="203" t="s">
        <v>337</v>
      </c>
      <c r="G36" s="137">
        <v>1</v>
      </c>
      <c r="H36" s="137">
        <v>1</v>
      </c>
    </row>
    <row r="37" spans="2:16" x14ac:dyDescent="0.3">
      <c r="B37" s="66" t="s">
        <v>338</v>
      </c>
      <c r="C37" s="74">
        <v>1</v>
      </c>
      <c r="D37" s="146">
        <v>1</v>
      </c>
      <c r="F37" s="66" t="s">
        <v>338</v>
      </c>
      <c r="G37" s="74">
        <v>1</v>
      </c>
      <c r="H37" s="146">
        <v>1</v>
      </c>
    </row>
    <row r="39" spans="2:16" ht="18.600000000000001" thickBot="1" x14ac:dyDescent="0.35">
      <c r="B39" s="76" t="s">
        <v>464</v>
      </c>
      <c r="C39" s="76"/>
      <c r="D39" s="76"/>
      <c r="F39" s="76" t="s">
        <v>464</v>
      </c>
      <c r="G39" s="76"/>
      <c r="H39" s="76"/>
    </row>
    <row r="40" spans="2:16" x14ac:dyDescent="0.3">
      <c r="B40" s="198" t="s">
        <v>444</v>
      </c>
      <c r="C40" s="151">
        <v>11</v>
      </c>
      <c r="D40" s="151">
        <v>10</v>
      </c>
      <c r="F40" s="198" t="s">
        <v>444</v>
      </c>
      <c r="G40" s="151">
        <v>8</v>
      </c>
      <c r="H40" s="151">
        <v>6</v>
      </c>
      <c r="J40" s="304"/>
      <c r="K40" s="297" t="s">
        <v>580</v>
      </c>
      <c r="L40" s="297"/>
      <c r="M40" s="297"/>
      <c r="N40" s="297"/>
      <c r="O40" s="297"/>
      <c r="P40" s="296"/>
    </row>
    <row r="41" spans="2:16" x14ac:dyDescent="0.3">
      <c r="B41" s="199" t="s">
        <v>443</v>
      </c>
      <c r="C41" s="153">
        <v>8</v>
      </c>
      <c r="D41" s="153">
        <v>7</v>
      </c>
      <c r="F41" s="199" t="s">
        <v>443</v>
      </c>
      <c r="G41" s="153">
        <v>5</v>
      </c>
      <c r="H41" s="153">
        <v>4</v>
      </c>
      <c r="J41" s="304"/>
      <c r="K41" s="298" t="s">
        <v>574</v>
      </c>
      <c r="L41" s="299" t="s">
        <v>575</v>
      </c>
      <c r="M41" s="300" t="s">
        <v>576</v>
      </c>
      <c r="N41" s="300"/>
      <c r="O41" s="300"/>
      <c r="P41" s="296"/>
    </row>
    <row r="42" spans="2:16" x14ac:dyDescent="0.3">
      <c r="B42" s="202" t="s">
        <v>140</v>
      </c>
      <c r="C42" s="189">
        <v>1</v>
      </c>
      <c r="D42" s="189">
        <v>1</v>
      </c>
      <c r="F42" s="202" t="s">
        <v>140</v>
      </c>
      <c r="G42" s="151">
        <v>0</v>
      </c>
      <c r="H42" s="151">
        <v>1</v>
      </c>
      <c r="J42" s="304"/>
      <c r="K42" s="301" t="s">
        <v>573</v>
      </c>
      <c r="L42" s="302" t="s">
        <v>581</v>
      </c>
      <c r="M42" s="297" t="s">
        <v>582</v>
      </c>
      <c r="N42" s="303"/>
      <c r="O42" s="297"/>
      <c r="P42" s="296"/>
    </row>
    <row r="43" spans="2:16" x14ac:dyDescent="0.3">
      <c r="B43" s="199" t="s">
        <v>141</v>
      </c>
      <c r="C43" s="153">
        <v>0</v>
      </c>
      <c r="D43" s="153">
        <v>1</v>
      </c>
      <c r="F43" s="199" t="s">
        <v>141</v>
      </c>
      <c r="G43" s="153">
        <v>0</v>
      </c>
      <c r="H43" s="153">
        <v>1</v>
      </c>
      <c r="J43" s="304"/>
      <c r="K43" s="301" t="s">
        <v>577</v>
      </c>
      <c r="L43" s="302" t="s">
        <v>583</v>
      </c>
      <c r="M43" s="297" t="s">
        <v>584</v>
      </c>
      <c r="N43" s="297"/>
      <c r="O43" s="297"/>
      <c r="P43" s="296"/>
    </row>
    <row r="44" spans="2:16" ht="31.2" x14ac:dyDescent="0.3">
      <c r="B44" s="295" t="s">
        <v>142</v>
      </c>
      <c r="C44" s="288">
        <v>0</v>
      </c>
      <c r="D44" s="288">
        <v>1</v>
      </c>
      <c r="F44" s="284" t="s">
        <v>501</v>
      </c>
      <c r="G44" s="289">
        <v>2</v>
      </c>
      <c r="H44" s="285">
        <v>2</v>
      </c>
      <c r="J44" s="304"/>
      <c r="K44" s="301" t="s">
        <v>521</v>
      </c>
      <c r="L44" s="302" t="s">
        <v>585</v>
      </c>
      <c r="M44" s="297" t="s">
        <v>586</v>
      </c>
      <c r="N44" s="297"/>
      <c r="O44" s="297"/>
      <c r="P44" s="296"/>
    </row>
    <row r="45" spans="2:16" x14ac:dyDescent="0.3">
      <c r="F45" s="283" t="s">
        <v>502</v>
      </c>
      <c r="G45" s="290">
        <v>4</v>
      </c>
      <c r="H45" s="286">
        <v>3</v>
      </c>
      <c r="J45" s="304"/>
      <c r="K45" s="301" t="s">
        <v>578</v>
      </c>
      <c r="L45" s="302" t="s">
        <v>587</v>
      </c>
      <c r="M45" s="297" t="s">
        <v>588</v>
      </c>
      <c r="N45" s="297"/>
      <c r="O45" s="297"/>
      <c r="P45" s="296"/>
    </row>
    <row r="46" spans="2:16" x14ac:dyDescent="0.3">
      <c r="F46" s="284" t="s">
        <v>503</v>
      </c>
      <c r="G46" s="72">
        <v>1</v>
      </c>
      <c r="H46" s="285">
        <v>1</v>
      </c>
      <c r="J46" s="304"/>
      <c r="K46" s="301" t="s">
        <v>579</v>
      </c>
      <c r="L46" s="302" t="s">
        <v>589</v>
      </c>
      <c r="M46" s="297" t="s">
        <v>590</v>
      </c>
      <c r="N46" s="297"/>
      <c r="O46" s="297"/>
      <c r="P46" s="296"/>
    </row>
    <row r="47" spans="2:16" ht="31.2" x14ac:dyDescent="0.3">
      <c r="F47" s="283" t="s">
        <v>548</v>
      </c>
      <c r="G47" s="184">
        <v>0</v>
      </c>
      <c r="H47" s="286">
        <v>1</v>
      </c>
    </row>
    <row r="48" spans="2:16" x14ac:dyDescent="0.3">
      <c r="F48" s="99" t="s">
        <v>571</v>
      </c>
      <c r="G48" s="287">
        <v>0</v>
      </c>
      <c r="H48" s="288">
        <v>1</v>
      </c>
    </row>
    <row r="50" spans="2:8" ht="18.600000000000001" thickBot="1" x14ac:dyDescent="0.35">
      <c r="B50" s="76" t="s">
        <v>465</v>
      </c>
      <c r="C50" s="76"/>
      <c r="D50" s="76"/>
      <c r="F50" s="76" t="s">
        <v>569</v>
      </c>
      <c r="G50" s="76"/>
      <c r="H50" s="76"/>
    </row>
    <row r="51" spans="2:8" x14ac:dyDescent="0.3">
      <c r="B51" s="194" t="s">
        <v>155</v>
      </c>
      <c r="C51" s="137">
        <v>2</v>
      </c>
      <c r="D51" s="137">
        <v>2</v>
      </c>
      <c r="F51" s="194" t="s">
        <v>155</v>
      </c>
      <c r="G51" s="137">
        <v>2</v>
      </c>
      <c r="H51" s="137">
        <v>2</v>
      </c>
    </row>
    <row r="52" spans="2:8" x14ac:dyDescent="0.3">
      <c r="B52" s="66" t="s">
        <v>157</v>
      </c>
      <c r="C52" s="74">
        <v>1</v>
      </c>
      <c r="D52" s="146">
        <v>1</v>
      </c>
      <c r="F52" s="66" t="s">
        <v>157</v>
      </c>
      <c r="G52" s="74">
        <v>1</v>
      </c>
      <c r="H52" s="146">
        <v>1</v>
      </c>
    </row>
    <row r="54" spans="2:8" ht="18.600000000000001" thickBot="1" x14ac:dyDescent="0.35">
      <c r="B54" s="76" t="s">
        <v>466</v>
      </c>
      <c r="C54" s="76"/>
      <c r="D54" s="76"/>
      <c r="F54" s="76" t="s">
        <v>466</v>
      </c>
      <c r="G54" s="76"/>
      <c r="H54" s="76"/>
    </row>
    <row r="55" spans="2:8" x14ac:dyDescent="0.3">
      <c r="B55" s="201" t="s">
        <v>355</v>
      </c>
      <c r="C55" s="188">
        <v>1</v>
      </c>
      <c r="D55" s="188">
        <v>1</v>
      </c>
      <c r="F55" s="201" t="s">
        <v>355</v>
      </c>
      <c r="G55" s="188">
        <v>1</v>
      </c>
      <c r="H55" s="188">
        <v>1</v>
      </c>
    </row>
    <row r="57" spans="2:8" ht="18.600000000000001" thickBot="1" x14ac:dyDescent="0.35">
      <c r="B57" s="76" t="s">
        <v>467</v>
      </c>
      <c r="C57" s="76"/>
      <c r="D57" s="76"/>
      <c r="F57" s="76" t="s">
        <v>467</v>
      </c>
      <c r="G57" s="76"/>
      <c r="H57" s="76"/>
    </row>
    <row r="58" spans="2:8" x14ac:dyDescent="0.3">
      <c r="B58" s="194" t="s">
        <v>193</v>
      </c>
      <c r="C58" s="137">
        <v>11</v>
      </c>
      <c r="D58" s="86">
        <v>8</v>
      </c>
      <c r="F58" s="194" t="s">
        <v>193</v>
      </c>
      <c r="G58" s="86">
        <v>11</v>
      </c>
      <c r="H58" s="86">
        <v>7</v>
      </c>
    </row>
    <row r="59" spans="2:8" x14ac:dyDescent="0.3">
      <c r="B59" s="195" t="s">
        <v>194</v>
      </c>
      <c r="C59" s="187">
        <v>3</v>
      </c>
      <c r="D59" s="187">
        <v>3</v>
      </c>
      <c r="F59" s="195" t="s">
        <v>194</v>
      </c>
      <c r="G59" s="187">
        <v>3</v>
      </c>
      <c r="H59" s="187">
        <v>3</v>
      </c>
    </row>
    <row r="60" spans="2:8" x14ac:dyDescent="0.3">
      <c r="B60" s="203" t="s">
        <v>195</v>
      </c>
      <c r="C60" s="137">
        <v>2</v>
      </c>
      <c r="D60" s="137">
        <v>2</v>
      </c>
      <c r="F60" s="203" t="s">
        <v>195</v>
      </c>
      <c r="G60" s="137">
        <v>2</v>
      </c>
      <c r="H60" s="137">
        <v>2</v>
      </c>
    </row>
    <row r="61" spans="2:8" x14ac:dyDescent="0.3">
      <c r="B61" s="195" t="s">
        <v>626</v>
      </c>
      <c r="C61" s="187">
        <v>1</v>
      </c>
      <c r="D61" s="187">
        <v>1</v>
      </c>
      <c r="F61" s="195" t="s">
        <v>626</v>
      </c>
      <c r="G61" s="187">
        <v>1</v>
      </c>
      <c r="H61" s="187">
        <v>1</v>
      </c>
    </row>
    <row r="62" spans="2:8" x14ac:dyDescent="0.3">
      <c r="B62" s="205" t="s">
        <v>197</v>
      </c>
      <c r="C62" s="137">
        <v>1</v>
      </c>
      <c r="D62" s="137">
        <v>1</v>
      </c>
      <c r="F62" s="205" t="s">
        <v>197</v>
      </c>
      <c r="G62" s="137">
        <v>1</v>
      </c>
      <c r="H62" s="137">
        <v>1</v>
      </c>
    </row>
    <row r="63" spans="2:8" x14ac:dyDescent="0.3">
      <c r="B63" s="195" t="s">
        <v>198</v>
      </c>
      <c r="C63" s="187">
        <v>0</v>
      </c>
      <c r="D63" s="87">
        <v>1</v>
      </c>
      <c r="F63" s="195" t="s">
        <v>198</v>
      </c>
      <c r="G63" s="87">
        <v>0</v>
      </c>
      <c r="H63" s="87">
        <v>1</v>
      </c>
    </row>
    <row r="64" spans="2:8" x14ac:dyDescent="0.3">
      <c r="B64" s="203" t="s">
        <v>199</v>
      </c>
      <c r="C64" s="137">
        <v>0</v>
      </c>
      <c r="D64" s="86">
        <v>1</v>
      </c>
      <c r="F64" s="203" t="s">
        <v>199</v>
      </c>
      <c r="G64" s="86">
        <v>0</v>
      </c>
      <c r="H64" s="86">
        <v>1</v>
      </c>
    </row>
    <row r="65" spans="2:9" x14ac:dyDescent="0.3">
      <c r="B65" s="66" t="s">
        <v>203</v>
      </c>
      <c r="C65" s="74">
        <v>0</v>
      </c>
      <c r="D65" s="193">
        <v>1</v>
      </c>
      <c r="F65" s="195" t="s">
        <v>203</v>
      </c>
      <c r="G65" s="87">
        <v>0</v>
      </c>
      <c r="H65" s="87">
        <v>1</v>
      </c>
    </row>
    <row r="66" spans="2:9" x14ac:dyDescent="0.3">
      <c r="B66" s="294"/>
      <c r="F66" s="99" t="s">
        <v>518</v>
      </c>
      <c r="G66" s="287">
        <v>0</v>
      </c>
      <c r="H66" s="288">
        <v>1</v>
      </c>
      <c r="I66" s="1" t="s">
        <v>570</v>
      </c>
    </row>
    <row r="68" spans="2:9" ht="18.600000000000001" thickBot="1" x14ac:dyDescent="0.35">
      <c r="B68" s="76" t="s">
        <v>468</v>
      </c>
      <c r="C68" s="76"/>
      <c r="D68" s="76"/>
      <c r="F68" s="76" t="s">
        <v>591</v>
      </c>
      <c r="G68" s="76"/>
      <c r="H68" s="76"/>
    </row>
    <row r="69" spans="2:9" x14ac:dyDescent="0.3">
      <c r="B69" s="197" t="s">
        <v>219</v>
      </c>
      <c r="C69" s="188">
        <v>1</v>
      </c>
      <c r="D69" s="188">
        <v>1</v>
      </c>
      <c r="F69" s="197" t="s">
        <v>219</v>
      </c>
      <c r="G69" s="188">
        <v>1</v>
      </c>
      <c r="H69" s="188">
        <v>1</v>
      </c>
    </row>
    <row r="71" spans="2:9" ht="18.600000000000001" thickBot="1" x14ac:dyDescent="0.35">
      <c r="B71" s="76" t="s">
        <v>469</v>
      </c>
      <c r="C71" s="76"/>
      <c r="D71" s="76"/>
      <c r="F71" s="76" t="s">
        <v>592</v>
      </c>
      <c r="G71" s="76"/>
      <c r="H71" s="76"/>
    </row>
    <row r="72" spans="2:9" x14ac:dyDescent="0.3">
      <c r="B72" s="197" t="s">
        <v>359</v>
      </c>
      <c r="C72" s="188">
        <v>1</v>
      </c>
      <c r="D72" s="188">
        <v>1</v>
      </c>
      <c r="F72" s="197" t="s">
        <v>359</v>
      </c>
      <c r="G72" s="188">
        <v>1</v>
      </c>
      <c r="H72" s="188">
        <v>1</v>
      </c>
    </row>
    <row r="74" spans="2:9" ht="18.600000000000001" thickBot="1" x14ac:dyDescent="0.35">
      <c r="B74" s="76" t="s">
        <v>470</v>
      </c>
      <c r="C74" s="76"/>
      <c r="D74" s="76"/>
      <c r="F74" s="76" t="s">
        <v>593</v>
      </c>
      <c r="G74" s="76"/>
      <c r="H74" s="76"/>
    </row>
    <row r="75" spans="2:9" x14ac:dyDescent="0.3">
      <c r="B75" s="197" t="s">
        <v>246</v>
      </c>
      <c r="C75" s="188">
        <v>1</v>
      </c>
      <c r="D75" s="188">
        <v>1</v>
      </c>
      <c r="F75" s="197" t="s">
        <v>246</v>
      </c>
      <c r="G75" s="188">
        <v>1</v>
      </c>
      <c r="H75" s="188">
        <v>1</v>
      </c>
    </row>
    <row r="77" spans="2:9" ht="18.600000000000001" thickBot="1" x14ac:dyDescent="0.35">
      <c r="B77" s="76" t="s">
        <v>471</v>
      </c>
      <c r="C77" s="76"/>
      <c r="D77" s="76"/>
      <c r="F77" s="76" t="s">
        <v>594</v>
      </c>
      <c r="G77" s="76"/>
      <c r="H77" s="76"/>
    </row>
    <row r="78" spans="2:9" x14ac:dyDescent="0.3">
      <c r="B78" s="197" t="s">
        <v>364</v>
      </c>
      <c r="C78" s="188">
        <v>1</v>
      </c>
      <c r="D78" s="188">
        <v>1</v>
      </c>
      <c r="F78" s="197" t="s">
        <v>364</v>
      </c>
      <c r="G78" s="188">
        <v>1</v>
      </c>
      <c r="H78" s="188">
        <v>1</v>
      </c>
    </row>
    <row r="80" spans="2:9" ht="18.600000000000001" thickBot="1" x14ac:dyDescent="0.35">
      <c r="B80" s="76" t="s">
        <v>472</v>
      </c>
      <c r="C80" s="76"/>
      <c r="D80" s="76"/>
      <c r="F80" s="76" t="s">
        <v>472</v>
      </c>
      <c r="G80" s="76"/>
      <c r="H80" s="76"/>
    </row>
    <row r="81" spans="2:8" x14ac:dyDescent="0.3">
      <c r="B81" s="194" t="s">
        <v>366</v>
      </c>
      <c r="C81" s="86">
        <v>2</v>
      </c>
      <c r="D81" s="86">
        <v>1</v>
      </c>
      <c r="F81" s="84" t="s">
        <v>366</v>
      </c>
      <c r="G81" s="306">
        <v>2</v>
      </c>
      <c r="H81" s="307">
        <v>1</v>
      </c>
    </row>
    <row r="82" spans="2:8" x14ac:dyDescent="0.3">
      <c r="B82" s="195" t="s">
        <v>367</v>
      </c>
      <c r="C82" s="87">
        <v>2</v>
      </c>
      <c r="D82" s="87">
        <v>1</v>
      </c>
      <c r="F82" s="211" t="s">
        <v>367</v>
      </c>
      <c r="G82" s="118">
        <v>1</v>
      </c>
      <c r="H82" s="232">
        <v>1</v>
      </c>
    </row>
    <row r="83" spans="2:8" x14ac:dyDescent="0.3">
      <c r="B83" s="203" t="s">
        <v>264</v>
      </c>
      <c r="C83" s="137">
        <v>1</v>
      </c>
      <c r="D83" s="137">
        <v>1</v>
      </c>
      <c r="F83" s="84" t="s">
        <v>264</v>
      </c>
      <c r="G83" s="119">
        <v>1</v>
      </c>
      <c r="H83" s="233">
        <v>1</v>
      </c>
    </row>
    <row r="84" spans="2:8" x14ac:dyDescent="0.3">
      <c r="B84" s="195" t="s">
        <v>265</v>
      </c>
      <c r="C84" s="87">
        <v>0</v>
      </c>
      <c r="D84" s="87">
        <v>1</v>
      </c>
      <c r="F84" s="211" t="s">
        <v>265</v>
      </c>
      <c r="G84" s="118">
        <v>1</v>
      </c>
      <c r="H84" s="232">
        <v>1</v>
      </c>
    </row>
    <row r="85" spans="2:8" x14ac:dyDescent="0.3">
      <c r="B85" s="205" t="s">
        <v>266</v>
      </c>
      <c r="C85" s="86">
        <v>0</v>
      </c>
      <c r="D85" s="86" t="s">
        <v>452</v>
      </c>
      <c r="F85" s="99" t="s">
        <v>267</v>
      </c>
      <c r="G85" s="305">
        <v>0</v>
      </c>
      <c r="H85" s="288">
        <v>1</v>
      </c>
    </row>
    <row r="86" spans="2:8" x14ac:dyDescent="0.3">
      <c r="B86" s="208" t="s">
        <v>267</v>
      </c>
      <c r="C86" s="209">
        <v>0</v>
      </c>
      <c r="D86" s="209" t="s">
        <v>453</v>
      </c>
    </row>
    <row r="87" spans="2:8" x14ac:dyDescent="0.3">
      <c r="C87" s="187"/>
      <c r="D87" s="187"/>
    </row>
    <row r="88" spans="2:8" ht="18.600000000000001" thickBot="1" x14ac:dyDescent="0.35">
      <c r="B88" s="76" t="s">
        <v>473</v>
      </c>
      <c r="C88" s="76"/>
      <c r="D88" s="76"/>
      <c r="F88" s="76" t="s">
        <v>595</v>
      </c>
      <c r="G88" s="76"/>
      <c r="H88" s="76"/>
    </row>
    <row r="89" spans="2:8" x14ac:dyDescent="0.3">
      <c r="B89" s="194" t="s">
        <v>287</v>
      </c>
      <c r="C89" s="86">
        <v>2</v>
      </c>
      <c r="D89" s="86">
        <v>1</v>
      </c>
      <c r="F89" s="194" t="s">
        <v>287</v>
      </c>
      <c r="G89" s="86">
        <v>2</v>
      </c>
      <c r="H89" s="86">
        <v>1</v>
      </c>
    </row>
    <row r="90" spans="2:8" x14ac:dyDescent="0.3">
      <c r="B90" s="195" t="s">
        <v>368</v>
      </c>
      <c r="C90" s="187">
        <v>1</v>
      </c>
      <c r="D90" s="187">
        <v>1</v>
      </c>
      <c r="F90" s="195" t="s">
        <v>368</v>
      </c>
      <c r="G90" s="187">
        <v>1</v>
      </c>
      <c r="H90" s="187">
        <v>1</v>
      </c>
    </row>
    <row r="91" spans="2:8" x14ac:dyDescent="0.3">
      <c r="B91" s="204" t="s">
        <v>369</v>
      </c>
      <c r="C91" s="192">
        <v>0</v>
      </c>
      <c r="D91" s="192">
        <v>1</v>
      </c>
      <c r="F91" s="204" t="s">
        <v>369</v>
      </c>
      <c r="G91" s="192">
        <v>0</v>
      </c>
      <c r="H91" s="192">
        <v>1</v>
      </c>
    </row>
    <row r="92" spans="2:8" x14ac:dyDescent="0.3">
      <c r="C92" s="187"/>
      <c r="D92" s="187"/>
    </row>
    <row r="93" spans="2:8" ht="18.600000000000001" thickBot="1" x14ac:dyDescent="0.35">
      <c r="B93" s="76" t="s">
        <v>474</v>
      </c>
      <c r="C93" s="77"/>
      <c r="D93" s="77"/>
      <c r="F93" s="76" t="s">
        <v>596</v>
      </c>
      <c r="G93" s="77"/>
      <c r="H93" s="77"/>
    </row>
    <row r="94" spans="2:8" x14ac:dyDescent="0.3">
      <c r="B94" s="194" t="s">
        <v>372</v>
      </c>
      <c r="C94" s="86">
        <v>2</v>
      </c>
      <c r="D94" s="86">
        <v>1</v>
      </c>
      <c r="F94" s="194" t="s">
        <v>372</v>
      </c>
      <c r="G94" s="86">
        <v>2</v>
      </c>
      <c r="H94" s="86">
        <v>1</v>
      </c>
    </row>
    <row r="95" spans="2:8" x14ac:dyDescent="0.3">
      <c r="B95" s="206" t="s">
        <v>297</v>
      </c>
      <c r="C95" s="207">
        <v>0</v>
      </c>
      <c r="D95" s="207">
        <v>1</v>
      </c>
      <c r="F95" s="206" t="s">
        <v>297</v>
      </c>
      <c r="G95" s="207">
        <v>0</v>
      </c>
      <c r="H95" s="207">
        <v>1</v>
      </c>
    </row>
    <row r="97" spans="2:8" ht="18.600000000000001" thickBot="1" x14ac:dyDescent="0.35">
      <c r="B97" s="76" t="s">
        <v>475</v>
      </c>
      <c r="C97" s="77"/>
      <c r="D97" s="77"/>
      <c r="F97" s="76" t="s">
        <v>597</v>
      </c>
      <c r="G97" s="77"/>
      <c r="H97" s="77"/>
    </row>
    <row r="98" spans="2:8" x14ac:dyDescent="0.3">
      <c r="B98" s="201" t="s">
        <v>376</v>
      </c>
      <c r="C98" s="188">
        <v>1</v>
      </c>
      <c r="D98" s="188">
        <v>1</v>
      </c>
      <c r="F98" s="201" t="s">
        <v>376</v>
      </c>
      <c r="G98" s="188">
        <v>1</v>
      </c>
      <c r="H98" s="188">
        <v>1</v>
      </c>
    </row>
  </sheetData>
  <mergeCells count="3">
    <mergeCell ref="B1:D2"/>
    <mergeCell ref="F1:H2"/>
    <mergeCell ref="B30:D30"/>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zoomScale="80" zoomScaleNormal="80" zoomScalePageLayoutView="80" workbookViewId="0">
      <selection activeCell="A2" sqref="A2"/>
    </sheetView>
  </sheetViews>
  <sheetFormatPr baseColWidth="10" defaultColWidth="11" defaultRowHeight="15.6" x14ac:dyDescent="0.3"/>
  <cols>
    <col min="2" max="2" width="20" customWidth="1"/>
    <col min="3" max="3" width="13.296875" customWidth="1"/>
    <col min="4" max="4" width="10.19921875" customWidth="1"/>
    <col min="5" max="5" width="5.5" customWidth="1"/>
    <col min="8" max="8" width="53.5" customWidth="1"/>
  </cols>
  <sheetData>
    <row r="1" spans="1:13" ht="31.05" customHeight="1" x14ac:dyDescent="0.45">
      <c r="A1" s="417" t="s">
        <v>627</v>
      </c>
      <c r="B1" s="417"/>
      <c r="C1" s="417"/>
      <c r="D1" s="417"/>
      <c r="E1" s="417"/>
      <c r="F1" s="417"/>
      <c r="G1" s="417"/>
      <c r="H1" s="417"/>
      <c r="I1" s="417"/>
      <c r="J1" s="417"/>
      <c r="K1" s="417"/>
      <c r="L1" s="417"/>
      <c r="M1" s="417"/>
    </row>
    <row r="2" spans="1:13" ht="15" customHeight="1" x14ac:dyDescent="0.3"/>
    <row r="4" spans="1:13" ht="46.8" x14ac:dyDescent="0.3">
      <c r="B4" s="331" t="s">
        <v>632</v>
      </c>
      <c r="C4" s="331" t="s">
        <v>634</v>
      </c>
      <c r="D4" s="331" t="s">
        <v>30</v>
      </c>
      <c r="E4" s="332" t="s">
        <v>633</v>
      </c>
    </row>
    <row r="5" spans="1:13" x14ac:dyDescent="0.3">
      <c r="B5" s="418" t="s">
        <v>622</v>
      </c>
      <c r="C5" s="418"/>
      <c r="D5" s="418"/>
      <c r="E5" s="418"/>
    </row>
    <row r="6" spans="1:13" x14ac:dyDescent="0.3">
      <c r="B6" s="333" t="s">
        <v>622</v>
      </c>
      <c r="C6" s="333" t="s">
        <v>656</v>
      </c>
      <c r="D6" s="333">
        <v>1</v>
      </c>
      <c r="E6" s="334">
        <f>D6/$D$24</f>
        <v>9.5238095238095247E-3</v>
      </c>
      <c r="I6" s="336"/>
      <c r="J6" s="336" t="s">
        <v>631</v>
      </c>
      <c r="K6" s="336">
        <v>105</v>
      </c>
    </row>
    <row r="7" spans="1:13" ht="31.2" x14ac:dyDescent="0.3">
      <c r="B7" s="333" t="s">
        <v>639</v>
      </c>
      <c r="C7" s="333" t="s">
        <v>657</v>
      </c>
      <c r="D7" s="333">
        <v>3</v>
      </c>
      <c r="E7" s="334">
        <f>D7/$D$24</f>
        <v>2.8571428571428571E-2</v>
      </c>
      <c r="I7" s="342"/>
      <c r="J7" s="342" t="s">
        <v>636</v>
      </c>
      <c r="K7" s="342">
        <v>1</v>
      </c>
      <c r="L7" s="342"/>
    </row>
    <row r="8" spans="1:13" x14ac:dyDescent="0.3">
      <c r="B8" s="416" t="s">
        <v>577</v>
      </c>
      <c r="C8" s="416"/>
      <c r="D8" s="416"/>
      <c r="E8" s="416"/>
      <c r="I8" s="342"/>
      <c r="J8" s="342" t="s">
        <v>637</v>
      </c>
      <c r="K8" s="342">
        <v>1</v>
      </c>
      <c r="L8" s="342"/>
    </row>
    <row r="9" spans="1:13" ht="31.2" x14ac:dyDescent="0.3">
      <c r="B9" s="333" t="s">
        <v>624</v>
      </c>
      <c r="C9" s="333" t="s">
        <v>655</v>
      </c>
      <c r="D9" s="333">
        <v>1</v>
      </c>
      <c r="E9" s="334">
        <f>D9/$D$24</f>
        <v>9.5238095238095247E-3</v>
      </c>
      <c r="I9" s="342"/>
      <c r="J9" s="342" t="s">
        <v>59</v>
      </c>
      <c r="K9" s="342">
        <v>7</v>
      </c>
      <c r="L9" s="342"/>
    </row>
    <row r="10" spans="1:13" x14ac:dyDescent="0.3">
      <c r="B10" s="333" t="s">
        <v>521</v>
      </c>
      <c r="C10" s="333" t="s">
        <v>33</v>
      </c>
      <c r="D10" s="333">
        <v>36</v>
      </c>
      <c r="E10" s="334">
        <f>D10/$D$24</f>
        <v>0.34285714285714286</v>
      </c>
      <c r="I10" s="342"/>
      <c r="J10" s="342" t="s">
        <v>635</v>
      </c>
      <c r="K10" s="342">
        <v>1</v>
      </c>
      <c r="L10" s="342"/>
    </row>
    <row r="11" spans="1:13" x14ac:dyDescent="0.3">
      <c r="B11" s="416" t="s">
        <v>628</v>
      </c>
      <c r="C11" s="416"/>
      <c r="D11" s="416"/>
      <c r="E11" s="416"/>
      <c r="I11" s="342"/>
      <c r="J11" s="342" t="s">
        <v>99</v>
      </c>
      <c r="K11" s="342">
        <v>43</v>
      </c>
      <c r="L11" s="342"/>
    </row>
    <row r="12" spans="1:13" ht="31.2" x14ac:dyDescent="0.3">
      <c r="B12" s="333" t="s">
        <v>623</v>
      </c>
      <c r="C12" s="333" t="s">
        <v>658</v>
      </c>
      <c r="D12" s="333">
        <v>8</v>
      </c>
      <c r="E12" s="334">
        <f>D12/$D$24</f>
        <v>7.6190476190476197E-2</v>
      </c>
      <c r="I12" s="342"/>
      <c r="J12" s="342" t="s">
        <v>432</v>
      </c>
      <c r="K12" s="342">
        <v>3</v>
      </c>
      <c r="L12" s="342"/>
    </row>
    <row r="13" spans="1:13" x14ac:dyDescent="0.3">
      <c r="B13" s="416" t="s">
        <v>630</v>
      </c>
      <c r="C13" s="416"/>
      <c r="D13" s="416"/>
      <c r="E13" s="416"/>
      <c r="I13" s="342"/>
      <c r="J13" s="342" t="s">
        <v>431</v>
      </c>
      <c r="K13" s="342">
        <v>8</v>
      </c>
      <c r="L13" s="342"/>
    </row>
    <row r="14" spans="1:13" x14ac:dyDescent="0.3">
      <c r="B14" s="333" t="s">
        <v>621</v>
      </c>
      <c r="C14" s="335" t="s">
        <v>432</v>
      </c>
      <c r="D14" s="333">
        <v>3</v>
      </c>
      <c r="E14" s="334">
        <f>D14/$D$24</f>
        <v>2.8571428571428571E-2</v>
      </c>
      <c r="I14" s="342"/>
      <c r="J14" s="342" t="s">
        <v>33</v>
      </c>
      <c r="K14" s="342">
        <v>36</v>
      </c>
      <c r="L14" s="342"/>
    </row>
    <row r="15" spans="1:13" x14ac:dyDescent="0.3">
      <c r="B15" s="416" t="s">
        <v>629</v>
      </c>
      <c r="C15" s="416"/>
      <c r="D15" s="416"/>
      <c r="E15" s="416"/>
      <c r="I15" s="342"/>
      <c r="J15" s="343" t="s">
        <v>167</v>
      </c>
      <c r="K15" s="343">
        <v>1</v>
      </c>
      <c r="L15" s="342"/>
    </row>
    <row r="16" spans="1:13" x14ac:dyDescent="0.3">
      <c r="B16" s="333" t="s">
        <v>619</v>
      </c>
      <c r="C16" s="333" t="s">
        <v>99</v>
      </c>
      <c r="D16" s="333">
        <v>43</v>
      </c>
      <c r="E16" s="334">
        <f>D16/$D$24</f>
        <v>0.40952380952380951</v>
      </c>
      <c r="I16" s="342"/>
      <c r="J16" s="342" t="s">
        <v>211</v>
      </c>
      <c r="K16" s="342">
        <v>3</v>
      </c>
      <c r="L16" s="342"/>
    </row>
    <row r="17" spans="2:12" x14ac:dyDescent="0.3">
      <c r="B17" s="333" t="s">
        <v>629</v>
      </c>
      <c r="C17" s="333" t="s">
        <v>635</v>
      </c>
      <c r="D17" s="333">
        <v>1</v>
      </c>
      <c r="E17" s="334">
        <f>D17/$D$24</f>
        <v>9.5238095238095247E-3</v>
      </c>
      <c r="I17" s="342"/>
      <c r="J17" s="343" t="s">
        <v>433</v>
      </c>
      <c r="K17" s="343">
        <v>1</v>
      </c>
      <c r="L17" s="342"/>
    </row>
    <row r="18" spans="2:12" x14ac:dyDescent="0.3">
      <c r="B18" s="416" t="s">
        <v>579</v>
      </c>
      <c r="C18" s="416"/>
      <c r="D18" s="416"/>
      <c r="E18" s="416"/>
      <c r="I18" s="342"/>
      <c r="J18" s="342"/>
      <c r="K18" s="342"/>
      <c r="L18" s="342"/>
    </row>
    <row r="19" spans="2:12" ht="31.2" x14ac:dyDescent="0.3">
      <c r="B19" s="333" t="s">
        <v>620</v>
      </c>
      <c r="C19" s="333" t="s">
        <v>59</v>
      </c>
      <c r="D19" s="333">
        <v>7</v>
      </c>
      <c r="E19" s="334">
        <f>D19/$D$24</f>
        <v>6.6666666666666666E-2</v>
      </c>
      <c r="I19" s="342"/>
      <c r="J19" s="342"/>
      <c r="K19" s="342"/>
      <c r="L19" s="342"/>
    </row>
    <row r="20" spans="2:12" ht="31.2" x14ac:dyDescent="0.3">
      <c r="B20" s="333" t="s">
        <v>638</v>
      </c>
      <c r="C20" s="333" t="s">
        <v>637</v>
      </c>
      <c r="D20" s="333">
        <v>1</v>
      </c>
      <c r="E20" s="334">
        <f>D20/$D$24</f>
        <v>9.5238095238095247E-3</v>
      </c>
      <c r="I20" s="342"/>
      <c r="J20" s="342"/>
      <c r="K20" s="342"/>
      <c r="L20" s="342"/>
    </row>
    <row r="21" spans="2:12" x14ac:dyDescent="0.3">
      <c r="B21" s="416" t="s">
        <v>631</v>
      </c>
      <c r="C21" s="416"/>
      <c r="D21" s="416"/>
      <c r="E21" s="416"/>
      <c r="I21" s="342"/>
      <c r="J21" s="342"/>
      <c r="K21" s="342"/>
      <c r="L21" s="342"/>
    </row>
    <row r="22" spans="2:12" ht="62.4" x14ac:dyDescent="0.3">
      <c r="B22" s="333"/>
      <c r="C22" s="333" t="s">
        <v>636</v>
      </c>
      <c r="D22" s="333">
        <v>1</v>
      </c>
      <c r="E22" s="334">
        <f>D22/$D$24</f>
        <v>9.5238095238095247E-3</v>
      </c>
    </row>
    <row r="23" spans="2:12" x14ac:dyDescent="0.3">
      <c r="B23" s="330"/>
      <c r="C23" s="330"/>
      <c r="D23" s="330"/>
      <c r="E23" s="330"/>
    </row>
    <row r="24" spans="2:12" x14ac:dyDescent="0.3">
      <c r="B24" s="16"/>
      <c r="C24" s="187" t="s">
        <v>22</v>
      </c>
      <c r="D24" s="137">
        <f>SUM(D6:D22)</f>
        <v>105</v>
      </c>
      <c r="E24" s="16"/>
    </row>
  </sheetData>
  <mergeCells count="8">
    <mergeCell ref="B18:E18"/>
    <mergeCell ref="B21:E21"/>
    <mergeCell ref="A1:M1"/>
    <mergeCell ref="B5:E5"/>
    <mergeCell ref="B8:E8"/>
    <mergeCell ref="B11:E11"/>
    <mergeCell ref="B15:E15"/>
    <mergeCell ref="B13:E13"/>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33"/>
  <sheetViews>
    <sheetView showGridLines="0" topLeftCell="A5" zoomScale="80" zoomScaleNormal="80" zoomScalePageLayoutView="80" workbookViewId="0">
      <selection activeCell="B1" sqref="B1:F28"/>
    </sheetView>
  </sheetViews>
  <sheetFormatPr baseColWidth="10" defaultColWidth="11" defaultRowHeight="15.6" x14ac:dyDescent="0.3"/>
  <cols>
    <col min="1" max="1" width="4.69921875" customWidth="1"/>
    <col min="2" max="2" width="14.19921875" customWidth="1"/>
    <col min="3" max="3" width="16.5" customWidth="1"/>
    <col min="4" max="4" width="18.296875" customWidth="1"/>
    <col min="5" max="5" width="24.09765625" customWidth="1"/>
  </cols>
  <sheetData>
    <row r="1" spans="1:8" ht="49.95" customHeight="1" x14ac:dyDescent="0.45">
      <c r="A1" s="371"/>
      <c r="B1" s="394" t="s">
        <v>692</v>
      </c>
      <c r="C1" s="394"/>
      <c r="D1" s="394"/>
      <c r="E1" s="394"/>
    </row>
    <row r="3" spans="1:8" ht="40.049999999999997" customHeight="1" x14ac:dyDescent="0.3">
      <c r="B3" s="370"/>
      <c r="C3" s="395" t="s">
        <v>671</v>
      </c>
      <c r="D3" s="395" t="s">
        <v>670</v>
      </c>
      <c r="E3" s="395" t="s">
        <v>669</v>
      </c>
    </row>
    <row r="4" spans="1:8" ht="40.049999999999997" customHeight="1" x14ac:dyDescent="0.3">
      <c r="B4" s="369"/>
      <c r="C4" s="396"/>
      <c r="D4" s="396"/>
      <c r="E4" s="396"/>
    </row>
    <row r="5" spans="1:8" ht="66" x14ac:dyDescent="0.3">
      <c r="B5" s="368"/>
      <c r="C5" s="367" t="s">
        <v>668</v>
      </c>
      <c r="D5" s="367"/>
      <c r="E5" s="367" t="s">
        <v>667</v>
      </c>
    </row>
    <row r="6" spans="1:8" ht="17.399999999999999" x14ac:dyDescent="0.3">
      <c r="B6" s="366"/>
      <c r="C6" s="366"/>
      <c r="D6" s="366"/>
      <c r="E6" s="366"/>
    </row>
    <row r="7" spans="1:8" ht="17.55" customHeight="1" x14ac:dyDescent="0.3">
      <c r="B7" s="363" t="s">
        <v>3</v>
      </c>
      <c r="C7" s="361">
        <v>82.18</v>
      </c>
      <c r="D7" s="362">
        <f>C7/C$26</f>
        <v>0.2417769932333039</v>
      </c>
      <c r="E7" s="361">
        <f t="shared" ref="E7:E25" si="0">IF($D7&gt;0.01,ROUND($D7,2)*100,1)</f>
        <v>24</v>
      </c>
    </row>
    <row r="8" spans="1:8" ht="17.55" customHeight="1" x14ac:dyDescent="0.3">
      <c r="B8" s="365" t="s">
        <v>8</v>
      </c>
      <c r="C8" s="364">
        <v>66.760000000000005</v>
      </c>
      <c r="D8" s="362">
        <f t="shared" ref="D8:D26" si="1">C8/$C$26</f>
        <v>0.19641070903206825</v>
      </c>
      <c r="E8" s="364">
        <f t="shared" si="0"/>
        <v>20</v>
      </c>
    </row>
    <row r="9" spans="1:8" ht="17.55" customHeight="1" x14ac:dyDescent="0.3">
      <c r="B9" s="363" t="s">
        <v>10</v>
      </c>
      <c r="C9" s="361">
        <v>60.67</v>
      </c>
      <c r="D9" s="362">
        <f t="shared" si="1"/>
        <v>0.17849367461017945</v>
      </c>
      <c r="E9" s="361">
        <f t="shared" si="0"/>
        <v>18</v>
      </c>
    </row>
    <row r="10" spans="1:8" ht="17.399999999999999" x14ac:dyDescent="0.3">
      <c r="B10" s="363" t="s">
        <v>6</v>
      </c>
      <c r="C10" s="361">
        <v>46.45</v>
      </c>
      <c r="D10" s="362">
        <f t="shared" si="1"/>
        <v>0.13665784054133567</v>
      </c>
      <c r="E10" s="361">
        <f t="shared" si="0"/>
        <v>14.000000000000002</v>
      </c>
    </row>
    <row r="11" spans="1:8" ht="17.399999999999999" x14ac:dyDescent="0.3">
      <c r="B11" s="358" t="s">
        <v>12</v>
      </c>
      <c r="C11" s="357">
        <v>16.98</v>
      </c>
      <c r="D11" s="355">
        <f t="shared" si="1"/>
        <v>4.9955869373345098E-2</v>
      </c>
      <c r="E11" s="357">
        <f t="shared" si="0"/>
        <v>5</v>
      </c>
    </row>
    <row r="12" spans="1:8" ht="17.399999999999999" x14ac:dyDescent="0.3">
      <c r="B12" s="360" t="s">
        <v>5</v>
      </c>
      <c r="C12" s="359">
        <v>11.31</v>
      </c>
      <c r="D12" s="355">
        <f t="shared" si="1"/>
        <v>3.3274492497793469E-2</v>
      </c>
      <c r="E12" s="359">
        <f t="shared" si="0"/>
        <v>3</v>
      </c>
    </row>
    <row r="13" spans="1:8" ht="17.399999999999999" x14ac:dyDescent="0.3">
      <c r="B13" s="360" t="s">
        <v>20</v>
      </c>
      <c r="C13" s="359">
        <v>10.78</v>
      </c>
      <c r="D13" s="355">
        <f t="shared" si="1"/>
        <v>3.1715210355987053E-2</v>
      </c>
      <c r="E13" s="359">
        <f t="shared" si="0"/>
        <v>3</v>
      </c>
    </row>
    <row r="14" spans="1:8" ht="17.399999999999999" x14ac:dyDescent="0.3">
      <c r="B14" s="360" t="s">
        <v>13</v>
      </c>
      <c r="C14" s="359">
        <v>10.34</v>
      </c>
      <c r="D14" s="355">
        <f t="shared" si="1"/>
        <v>3.0420711974110028E-2</v>
      </c>
      <c r="E14" s="359">
        <f t="shared" si="0"/>
        <v>3</v>
      </c>
      <c r="H14" s="383"/>
    </row>
    <row r="15" spans="1:8" ht="17.399999999999999" x14ac:dyDescent="0.3">
      <c r="B15" s="358" t="s">
        <v>4</v>
      </c>
      <c r="C15" s="357">
        <v>8.69</v>
      </c>
      <c r="D15" s="355">
        <f t="shared" si="1"/>
        <v>2.5566343042071192E-2</v>
      </c>
      <c r="E15" s="357">
        <f t="shared" si="0"/>
        <v>3</v>
      </c>
    </row>
    <row r="16" spans="1:8" ht="17.399999999999999" x14ac:dyDescent="0.3">
      <c r="B16" s="360" t="s">
        <v>7</v>
      </c>
      <c r="C16" s="359">
        <v>5.49</v>
      </c>
      <c r="D16" s="355">
        <f t="shared" si="1"/>
        <v>1.615180935569285E-2</v>
      </c>
      <c r="E16" s="359">
        <f t="shared" si="0"/>
        <v>2</v>
      </c>
    </row>
    <row r="17" spans="2:5" ht="17.399999999999999" x14ac:dyDescent="0.3">
      <c r="B17" s="358" t="s">
        <v>16</v>
      </c>
      <c r="C17" s="357">
        <v>5.43</v>
      </c>
      <c r="D17" s="355">
        <f t="shared" si="1"/>
        <v>1.5975286849073254E-2</v>
      </c>
      <c r="E17" s="357">
        <f t="shared" si="0"/>
        <v>2</v>
      </c>
    </row>
    <row r="18" spans="2:5" ht="17.399999999999999" x14ac:dyDescent="0.3">
      <c r="B18" s="358" t="s">
        <v>9</v>
      </c>
      <c r="C18" s="357">
        <v>4.72</v>
      </c>
      <c r="D18" s="355">
        <f t="shared" si="1"/>
        <v>1.3886437187408059E-2</v>
      </c>
      <c r="E18" s="357">
        <f t="shared" si="0"/>
        <v>1</v>
      </c>
    </row>
    <row r="19" spans="2:5" ht="17.399999999999999" x14ac:dyDescent="0.3">
      <c r="B19" s="360" t="s">
        <v>19</v>
      </c>
      <c r="C19" s="359">
        <v>2.89</v>
      </c>
      <c r="D19" s="355">
        <f t="shared" si="1"/>
        <v>8.5025007355104439E-3</v>
      </c>
      <c r="E19" s="359">
        <f t="shared" si="0"/>
        <v>1</v>
      </c>
    </row>
    <row r="20" spans="2:5" ht="17.399999999999999" customHeight="1" x14ac:dyDescent="0.3">
      <c r="B20" s="360" t="s">
        <v>21</v>
      </c>
      <c r="C20" s="359">
        <v>2.06</v>
      </c>
      <c r="D20" s="355">
        <f t="shared" si="1"/>
        <v>6.0606060606060597E-3</v>
      </c>
      <c r="E20" s="359">
        <f t="shared" si="0"/>
        <v>1</v>
      </c>
    </row>
    <row r="21" spans="2:5" ht="17.399999999999999" x14ac:dyDescent="0.3">
      <c r="B21" s="358" t="s">
        <v>18</v>
      </c>
      <c r="C21" s="357">
        <v>1.97</v>
      </c>
      <c r="D21" s="355">
        <f t="shared" si="1"/>
        <v>5.7958223006766693E-3</v>
      </c>
      <c r="E21" s="357">
        <f t="shared" si="0"/>
        <v>1</v>
      </c>
    </row>
    <row r="22" spans="2:5" ht="17.399999999999999" x14ac:dyDescent="0.3">
      <c r="B22" s="358" t="s">
        <v>17</v>
      </c>
      <c r="C22" s="357">
        <v>1.32</v>
      </c>
      <c r="D22" s="355">
        <f t="shared" si="1"/>
        <v>3.8834951456310678E-3</v>
      </c>
      <c r="E22" s="357">
        <f t="shared" si="0"/>
        <v>1</v>
      </c>
    </row>
    <row r="23" spans="2:5" ht="17.399999999999999" x14ac:dyDescent="0.3">
      <c r="B23" s="358" t="s">
        <v>14</v>
      </c>
      <c r="C23" s="357">
        <v>0.85</v>
      </c>
      <c r="D23" s="355">
        <f t="shared" si="1"/>
        <v>2.5007355104442481E-3</v>
      </c>
      <c r="E23" s="357">
        <f t="shared" si="0"/>
        <v>1</v>
      </c>
    </row>
    <row r="24" spans="2:5" ht="17.399999999999999" x14ac:dyDescent="0.3">
      <c r="B24" s="358" t="s">
        <v>11</v>
      </c>
      <c r="C24" s="357">
        <v>0.57999999999999996</v>
      </c>
      <c r="D24" s="355">
        <f t="shared" si="1"/>
        <v>1.706384230656075E-3</v>
      </c>
      <c r="E24" s="357">
        <f t="shared" si="0"/>
        <v>1</v>
      </c>
    </row>
    <row r="25" spans="2:5" ht="18" thickBot="1" x14ac:dyDescent="0.35">
      <c r="B25" s="356" t="s">
        <v>15</v>
      </c>
      <c r="C25" s="354">
        <v>0.43</v>
      </c>
      <c r="D25" s="355">
        <f t="shared" si="1"/>
        <v>1.2650779641070903E-3</v>
      </c>
      <c r="E25" s="354">
        <f t="shared" si="0"/>
        <v>1</v>
      </c>
    </row>
    <row r="26" spans="2:5" ht="17.399999999999999" x14ac:dyDescent="0.3">
      <c r="B26" s="353"/>
      <c r="C26" s="352">
        <f>SUM(C7:C25)</f>
        <v>339.90000000000003</v>
      </c>
      <c r="D26" s="351">
        <f t="shared" si="1"/>
        <v>1</v>
      </c>
      <c r="E26" s="350">
        <f>SUM(E7:E25)</f>
        <v>105</v>
      </c>
    </row>
    <row r="27" spans="2:5" ht="18" customHeight="1" x14ac:dyDescent="0.3">
      <c r="B27" s="393" t="s">
        <v>666</v>
      </c>
      <c r="C27" s="393"/>
      <c r="D27" s="393"/>
      <c r="E27" s="346">
        <v>25</v>
      </c>
    </row>
    <row r="28" spans="2:5" ht="18" customHeight="1" x14ac:dyDescent="0.3">
      <c r="B28" s="393" t="s">
        <v>665</v>
      </c>
      <c r="C28" s="393"/>
      <c r="D28" s="393"/>
      <c r="E28" s="346">
        <v>130</v>
      </c>
    </row>
    <row r="29" spans="2:5" ht="17.399999999999999" x14ac:dyDescent="0.3">
      <c r="B29" s="349"/>
      <c r="C29" s="348"/>
      <c r="D29" s="347"/>
      <c r="E29" s="346"/>
    </row>
    <row r="30" spans="2:5" ht="17.399999999999999" x14ac:dyDescent="0.3">
      <c r="B30" s="349"/>
      <c r="C30" s="348"/>
      <c r="D30" s="347"/>
      <c r="E30" s="346"/>
    </row>
    <row r="31" spans="2:5" x14ac:dyDescent="0.3">
      <c r="B31" s="345" t="s">
        <v>26</v>
      </c>
    </row>
    <row r="32" spans="2:5" x14ac:dyDescent="0.3">
      <c r="B32" t="s">
        <v>25</v>
      </c>
      <c r="C32" s="3" t="s">
        <v>23</v>
      </c>
    </row>
    <row r="33" spans="2:3" x14ac:dyDescent="0.3">
      <c r="B33" t="s">
        <v>27</v>
      </c>
      <c r="C33" s="3" t="s">
        <v>28</v>
      </c>
    </row>
  </sheetData>
  <mergeCells count="6">
    <mergeCell ref="B28:D28"/>
    <mergeCell ref="B1:E1"/>
    <mergeCell ref="C3:C4"/>
    <mergeCell ref="D3:D4"/>
    <mergeCell ref="E3:E4"/>
    <mergeCell ref="B27:D27"/>
  </mergeCells>
  <hyperlinks>
    <hyperlink ref="C33" r:id="rId1"/>
    <hyperlink ref="C32" r:id="rId2"/>
  </hyperlinks>
  <printOptions horizontalCentered="1" verticalCentered="1"/>
  <pageMargins left="0.74803149606299213" right="0.74803149606299213" top="0.98425196850393704" bottom="0.98425196850393704" header="0.51181102362204722" footer="0.51181102362204722"/>
  <pageSetup paperSize="9" scale="32"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35"/>
  <sheetViews>
    <sheetView showGridLines="0" topLeftCell="A6" zoomScale="80" zoomScaleNormal="80" zoomScalePageLayoutView="80" workbookViewId="0">
      <selection activeCell="B1" sqref="B1:F28"/>
    </sheetView>
  </sheetViews>
  <sheetFormatPr baseColWidth="10" defaultColWidth="11" defaultRowHeight="15.6" x14ac:dyDescent="0.3"/>
  <cols>
    <col min="1" max="1" width="4.69921875" customWidth="1"/>
    <col min="2" max="2" width="17.796875" customWidth="1"/>
    <col min="3" max="3" width="16.5" customWidth="1"/>
    <col min="4" max="4" width="20.8984375" customWidth="1"/>
    <col min="5" max="6" width="20.69921875" customWidth="1"/>
  </cols>
  <sheetData>
    <row r="1" spans="1:8" ht="49.95" customHeight="1" x14ac:dyDescent="0.45">
      <c r="A1" s="371"/>
      <c r="B1" s="394" t="s">
        <v>694</v>
      </c>
      <c r="C1" s="394"/>
      <c r="D1" s="394"/>
      <c r="E1" s="394"/>
      <c r="F1" s="394"/>
    </row>
    <row r="3" spans="1:8" ht="60" customHeight="1" x14ac:dyDescent="0.3">
      <c r="B3" s="370"/>
      <c r="C3" s="395" t="s">
        <v>671</v>
      </c>
      <c r="D3" s="395" t="s">
        <v>670</v>
      </c>
      <c r="E3" s="395" t="s">
        <v>673</v>
      </c>
      <c r="F3" s="395"/>
    </row>
    <row r="4" spans="1:8" ht="55.05" customHeight="1" x14ac:dyDescent="0.3">
      <c r="B4" s="369"/>
      <c r="C4" s="396"/>
      <c r="D4" s="396"/>
      <c r="E4" s="386" t="s">
        <v>699</v>
      </c>
      <c r="F4" s="386" t="s">
        <v>693</v>
      </c>
    </row>
    <row r="5" spans="1:8" ht="92.4" x14ac:dyDescent="0.3">
      <c r="B5" s="374"/>
      <c r="C5" s="367" t="s">
        <v>668</v>
      </c>
      <c r="D5" s="367"/>
      <c r="E5" s="367" t="s">
        <v>667</v>
      </c>
      <c r="F5" s="367" t="s">
        <v>672</v>
      </c>
    </row>
    <row r="6" spans="1:8" ht="17.399999999999999" x14ac:dyDescent="0.3">
      <c r="B6" s="366"/>
      <c r="C6" s="366"/>
      <c r="D6" s="366"/>
      <c r="E6" s="366"/>
      <c r="F6" s="366"/>
    </row>
    <row r="7" spans="1:8" ht="17.55" customHeight="1" x14ac:dyDescent="0.3">
      <c r="B7" s="363" t="s">
        <v>3</v>
      </c>
      <c r="C7" s="361">
        <v>82.18</v>
      </c>
      <c r="D7" s="362">
        <f>C7/C$26</f>
        <v>0.2417769932333039</v>
      </c>
      <c r="E7" s="361">
        <f t="shared" ref="E7:E25" si="0">IF($D7&gt;0.01,ROUND($D7,2)*100,1)</f>
        <v>24</v>
      </c>
      <c r="F7" s="373">
        <f t="shared" ref="F7:F17" si="1">3*E7</f>
        <v>72</v>
      </c>
    </row>
    <row r="8" spans="1:8" ht="17.55" customHeight="1" x14ac:dyDescent="0.3">
      <c r="B8" s="365" t="s">
        <v>8</v>
      </c>
      <c r="C8" s="364">
        <v>66.760000000000005</v>
      </c>
      <c r="D8" s="362">
        <f t="shared" ref="D8:D26" si="2">C8/$C$26</f>
        <v>0.19641070903206825</v>
      </c>
      <c r="E8" s="364">
        <f t="shared" si="0"/>
        <v>20</v>
      </c>
      <c r="F8" s="373">
        <f t="shared" si="1"/>
        <v>60</v>
      </c>
    </row>
    <row r="9" spans="1:8" ht="17.55" customHeight="1" x14ac:dyDescent="0.3">
      <c r="B9" s="363" t="s">
        <v>10</v>
      </c>
      <c r="C9" s="361">
        <v>60.67</v>
      </c>
      <c r="D9" s="362">
        <f t="shared" si="2"/>
        <v>0.17849367461017945</v>
      </c>
      <c r="E9" s="361">
        <f t="shared" si="0"/>
        <v>18</v>
      </c>
      <c r="F9" s="373">
        <f t="shared" si="1"/>
        <v>54</v>
      </c>
    </row>
    <row r="10" spans="1:8" ht="17.399999999999999" x14ac:dyDescent="0.3">
      <c r="B10" s="363" t="s">
        <v>6</v>
      </c>
      <c r="C10" s="361">
        <v>46.45</v>
      </c>
      <c r="D10" s="362">
        <f t="shared" si="2"/>
        <v>0.13665784054133567</v>
      </c>
      <c r="E10" s="361">
        <f t="shared" si="0"/>
        <v>14.000000000000002</v>
      </c>
      <c r="F10" s="373">
        <f t="shared" si="1"/>
        <v>42.000000000000007</v>
      </c>
    </row>
    <row r="11" spans="1:8" ht="17.399999999999999" x14ac:dyDescent="0.3">
      <c r="B11" s="358" t="s">
        <v>12</v>
      </c>
      <c r="C11" s="357">
        <v>16.98</v>
      </c>
      <c r="D11" s="355">
        <f t="shared" si="2"/>
        <v>4.9955869373345098E-2</v>
      </c>
      <c r="E11" s="357">
        <f t="shared" si="0"/>
        <v>5</v>
      </c>
      <c r="F11" s="372">
        <f t="shared" si="1"/>
        <v>15</v>
      </c>
    </row>
    <row r="12" spans="1:8" ht="17.399999999999999" x14ac:dyDescent="0.3">
      <c r="B12" s="360" t="s">
        <v>5</v>
      </c>
      <c r="C12" s="359">
        <v>11.31</v>
      </c>
      <c r="D12" s="355">
        <f t="shared" si="2"/>
        <v>3.3274492497793469E-2</v>
      </c>
      <c r="E12" s="359">
        <f t="shared" si="0"/>
        <v>3</v>
      </c>
      <c r="F12" s="372">
        <f t="shared" si="1"/>
        <v>9</v>
      </c>
    </row>
    <row r="13" spans="1:8" ht="17.399999999999999" x14ac:dyDescent="0.3">
      <c r="B13" s="360" t="s">
        <v>20</v>
      </c>
      <c r="C13" s="359">
        <v>10.78</v>
      </c>
      <c r="D13" s="355">
        <f t="shared" si="2"/>
        <v>3.1715210355987053E-2</v>
      </c>
      <c r="E13" s="359">
        <f t="shared" si="0"/>
        <v>3</v>
      </c>
      <c r="F13" s="372">
        <f t="shared" si="1"/>
        <v>9</v>
      </c>
    </row>
    <row r="14" spans="1:8" ht="17.399999999999999" x14ac:dyDescent="0.3">
      <c r="B14" s="360" t="s">
        <v>13</v>
      </c>
      <c r="C14" s="359">
        <v>10.34</v>
      </c>
      <c r="D14" s="355">
        <f t="shared" si="2"/>
        <v>3.0420711974110028E-2</v>
      </c>
      <c r="E14" s="359">
        <f t="shared" si="0"/>
        <v>3</v>
      </c>
      <c r="F14" s="372">
        <f t="shared" si="1"/>
        <v>9</v>
      </c>
      <c r="H14" s="383"/>
    </row>
    <row r="15" spans="1:8" ht="17.399999999999999" x14ac:dyDescent="0.3">
      <c r="B15" s="358" t="s">
        <v>4</v>
      </c>
      <c r="C15" s="357">
        <v>8.69</v>
      </c>
      <c r="D15" s="355">
        <f t="shared" si="2"/>
        <v>2.5566343042071192E-2</v>
      </c>
      <c r="E15" s="357">
        <f t="shared" si="0"/>
        <v>3</v>
      </c>
      <c r="F15" s="372">
        <f t="shared" si="1"/>
        <v>9</v>
      </c>
    </row>
    <row r="16" spans="1:8" ht="17.399999999999999" x14ac:dyDescent="0.3">
      <c r="B16" s="360" t="s">
        <v>7</v>
      </c>
      <c r="C16" s="359">
        <v>5.49</v>
      </c>
      <c r="D16" s="355">
        <f t="shared" si="2"/>
        <v>1.615180935569285E-2</v>
      </c>
      <c r="E16" s="359">
        <f t="shared" si="0"/>
        <v>2</v>
      </c>
      <c r="F16" s="372">
        <f t="shared" si="1"/>
        <v>6</v>
      </c>
    </row>
    <row r="17" spans="2:6" ht="17.399999999999999" x14ac:dyDescent="0.3">
      <c r="B17" s="358" t="s">
        <v>16</v>
      </c>
      <c r="C17" s="357">
        <v>5.43</v>
      </c>
      <c r="D17" s="355">
        <f t="shared" si="2"/>
        <v>1.5975286849073254E-2</v>
      </c>
      <c r="E17" s="357">
        <f t="shared" si="0"/>
        <v>2</v>
      </c>
      <c r="F17" s="372">
        <f t="shared" si="1"/>
        <v>6</v>
      </c>
    </row>
    <row r="18" spans="2:6" ht="17.399999999999999" x14ac:dyDescent="0.3">
      <c r="B18" s="358" t="s">
        <v>9</v>
      </c>
      <c r="C18" s="357">
        <v>4.72</v>
      </c>
      <c r="D18" s="355">
        <f t="shared" si="2"/>
        <v>1.3886437187408059E-2</v>
      </c>
      <c r="E18" s="357">
        <f t="shared" si="0"/>
        <v>1</v>
      </c>
      <c r="F18" s="372">
        <f>3*E18+3</f>
        <v>6</v>
      </c>
    </row>
    <row r="19" spans="2:6" ht="17.399999999999999" x14ac:dyDescent="0.3">
      <c r="B19" s="360" t="s">
        <v>19</v>
      </c>
      <c r="C19" s="359">
        <v>2.89</v>
      </c>
      <c r="D19" s="355">
        <f t="shared" si="2"/>
        <v>8.5025007355104439E-3</v>
      </c>
      <c r="E19" s="359">
        <f t="shared" si="0"/>
        <v>1</v>
      </c>
      <c r="F19" s="372">
        <f>3*E19+2</f>
        <v>5</v>
      </c>
    </row>
    <row r="20" spans="2:6" ht="17.399999999999999" x14ac:dyDescent="0.3">
      <c r="B20" s="360" t="s">
        <v>21</v>
      </c>
      <c r="C20" s="359">
        <v>2.06</v>
      </c>
      <c r="D20" s="355">
        <f t="shared" si="2"/>
        <v>6.0606060606060597E-3</v>
      </c>
      <c r="E20" s="359">
        <f t="shared" si="0"/>
        <v>1</v>
      </c>
      <c r="F20" s="372">
        <f t="shared" ref="F20:F25" si="3">3*E20</f>
        <v>3</v>
      </c>
    </row>
    <row r="21" spans="2:6" ht="17.399999999999999" x14ac:dyDescent="0.3">
      <c r="B21" s="358" t="s">
        <v>18</v>
      </c>
      <c r="C21" s="357">
        <v>1.97</v>
      </c>
      <c r="D21" s="355">
        <f t="shared" si="2"/>
        <v>5.7958223006766693E-3</v>
      </c>
      <c r="E21" s="357">
        <f t="shared" si="0"/>
        <v>1</v>
      </c>
      <c r="F21" s="372">
        <f t="shared" si="3"/>
        <v>3</v>
      </c>
    </row>
    <row r="22" spans="2:6" ht="17.399999999999999" x14ac:dyDescent="0.3">
      <c r="B22" s="358" t="s">
        <v>17</v>
      </c>
      <c r="C22" s="357">
        <v>1.32</v>
      </c>
      <c r="D22" s="355">
        <f t="shared" si="2"/>
        <v>3.8834951456310678E-3</v>
      </c>
      <c r="E22" s="357">
        <f t="shared" si="0"/>
        <v>1</v>
      </c>
      <c r="F22" s="372">
        <f t="shared" si="3"/>
        <v>3</v>
      </c>
    </row>
    <row r="23" spans="2:6" ht="17.399999999999999" x14ac:dyDescent="0.3">
      <c r="B23" s="358" t="s">
        <v>14</v>
      </c>
      <c r="C23" s="357">
        <v>0.85</v>
      </c>
      <c r="D23" s="355">
        <f t="shared" si="2"/>
        <v>2.5007355104442481E-3</v>
      </c>
      <c r="E23" s="357">
        <f t="shared" si="0"/>
        <v>1</v>
      </c>
      <c r="F23" s="372">
        <f t="shared" si="3"/>
        <v>3</v>
      </c>
    </row>
    <row r="24" spans="2:6" ht="17.399999999999999" x14ac:dyDescent="0.3">
      <c r="B24" s="358" t="s">
        <v>11</v>
      </c>
      <c r="C24" s="357">
        <v>0.57999999999999996</v>
      </c>
      <c r="D24" s="355">
        <f t="shared" si="2"/>
        <v>1.706384230656075E-3</v>
      </c>
      <c r="E24" s="357">
        <f t="shared" si="0"/>
        <v>1</v>
      </c>
      <c r="F24" s="372">
        <f t="shared" si="3"/>
        <v>3</v>
      </c>
    </row>
    <row r="25" spans="2:6" ht="18" thickBot="1" x14ac:dyDescent="0.35">
      <c r="B25" s="356" t="s">
        <v>15</v>
      </c>
      <c r="C25" s="354">
        <v>0.43</v>
      </c>
      <c r="D25" s="355">
        <f t="shared" si="2"/>
        <v>1.2650779641070903E-3</v>
      </c>
      <c r="E25" s="354">
        <f t="shared" si="0"/>
        <v>1</v>
      </c>
      <c r="F25" s="372">
        <f t="shared" si="3"/>
        <v>3</v>
      </c>
    </row>
    <row r="26" spans="2:6" ht="17.399999999999999" x14ac:dyDescent="0.3">
      <c r="B26" s="353"/>
      <c r="C26" s="352">
        <f>SUM(C7:C25)</f>
        <v>339.90000000000003</v>
      </c>
      <c r="D26" s="351">
        <f t="shared" si="2"/>
        <v>1</v>
      </c>
      <c r="E26" s="350">
        <f>SUM(E7:E25)</f>
        <v>105</v>
      </c>
      <c r="F26" s="350">
        <f>SUM(F7:F25)</f>
        <v>320</v>
      </c>
    </row>
    <row r="27" spans="2:6" ht="17.399999999999999" x14ac:dyDescent="0.3">
      <c r="B27" s="393" t="s">
        <v>666</v>
      </c>
      <c r="C27" s="393"/>
      <c r="D27" s="393"/>
      <c r="E27" s="346">
        <v>25</v>
      </c>
      <c r="F27" s="346">
        <v>80</v>
      </c>
    </row>
    <row r="28" spans="2:6" ht="17.399999999999999" x14ac:dyDescent="0.3">
      <c r="B28" s="393" t="s">
        <v>665</v>
      </c>
      <c r="C28" s="393"/>
      <c r="D28" s="393"/>
      <c r="E28" s="346">
        <v>130</v>
      </c>
      <c r="F28" s="346">
        <v>400</v>
      </c>
    </row>
    <row r="29" spans="2:6" ht="17.399999999999999" x14ac:dyDescent="0.3">
      <c r="B29" s="349"/>
      <c r="C29" s="348"/>
      <c r="D29" s="347"/>
      <c r="E29" s="346"/>
      <c r="F29" s="346"/>
    </row>
    <row r="30" spans="2:6" ht="17.399999999999999" x14ac:dyDescent="0.3">
      <c r="B30" s="349"/>
      <c r="C30" s="348"/>
      <c r="D30" s="347"/>
      <c r="E30" s="346"/>
      <c r="F30" s="346"/>
    </row>
    <row r="31" spans="2:6" ht="17.399999999999999" x14ac:dyDescent="0.3">
      <c r="B31" s="349"/>
      <c r="C31" s="348"/>
      <c r="D31" s="347"/>
      <c r="E31" s="346"/>
      <c r="F31" s="346"/>
    </row>
    <row r="32" spans="2:6" ht="17.399999999999999" x14ac:dyDescent="0.3">
      <c r="B32" s="349"/>
      <c r="C32" s="348"/>
      <c r="D32" s="347"/>
      <c r="E32" s="346"/>
      <c r="F32" s="346"/>
    </row>
    <row r="33" spans="2:3" x14ac:dyDescent="0.3">
      <c r="B33" s="345" t="s">
        <v>26</v>
      </c>
    </row>
    <row r="34" spans="2:3" x14ac:dyDescent="0.3">
      <c r="B34" t="s">
        <v>25</v>
      </c>
      <c r="C34" s="3" t="s">
        <v>23</v>
      </c>
    </row>
    <row r="35" spans="2:3" x14ac:dyDescent="0.3">
      <c r="B35" t="s">
        <v>27</v>
      </c>
      <c r="C35" s="3" t="s">
        <v>28</v>
      </c>
    </row>
  </sheetData>
  <mergeCells count="6">
    <mergeCell ref="B28:D28"/>
    <mergeCell ref="B1:F1"/>
    <mergeCell ref="E3:F3"/>
    <mergeCell ref="C3:C4"/>
    <mergeCell ref="D3:D4"/>
    <mergeCell ref="B27:D27"/>
  </mergeCells>
  <hyperlinks>
    <hyperlink ref="C35" r:id="rId1"/>
    <hyperlink ref="C34" r:id="rId2"/>
  </hyperlinks>
  <printOptions horizontalCentered="1" verticalCentered="1"/>
  <pageMargins left="0.74803149606299213" right="0.74803149606299213" top="0.98425196850393704" bottom="0.98425196850393704" header="0.51181102362204722" footer="0.51181102362204722"/>
  <pageSetup paperSize="9" scale="30"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30"/>
  <sheetViews>
    <sheetView showGridLines="0" topLeftCell="A5" zoomScale="80" zoomScaleNormal="80" zoomScalePageLayoutView="80" workbookViewId="0">
      <selection activeCell="B1" sqref="B1:F28"/>
    </sheetView>
  </sheetViews>
  <sheetFormatPr baseColWidth="10" defaultColWidth="11" defaultRowHeight="15.6" x14ac:dyDescent="0.3"/>
  <cols>
    <col min="1" max="1" width="4.69921875" customWidth="1"/>
    <col min="2" max="2" width="14.19921875" customWidth="1"/>
    <col min="3" max="7" width="15.69921875" customWidth="1"/>
  </cols>
  <sheetData>
    <row r="1" spans="1:8" ht="70.05" customHeight="1" x14ac:dyDescent="0.45">
      <c r="A1" s="377"/>
      <c r="B1" s="394" t="s">
        <v>695</v>
      </c>
      <c r="C1" s="394"/>
      <c r="D1" s="394"/>
      <c r="E1" s="394"/>
      <c r="F1" s="394"/>
      <c r="G1" s="394"/>
    </row>
    <row r="3" spans="1:8" ht="85.05" customHeight="1" x14ac:dyDescent="0.3">
      <c r="B3" s="370"/>
      <c r="C3" s="376" t="s">
        <v>680</v>
      </c>
      <c r="D3" s="395" t="s">
        <v>679</v>
      </c>
      <c r="E3" s="397"/>
      <c r="F3" s="397"/>
      <c r="G3" s="397"/>
    </row>
    <row r="4" spans="1:8" ht="92.4" x14ac:dyDescent="0.3">
      <c r="B4" s="368"/>
      <c r="C4" s="367" t="s">
        <v>678</v>
      </c>
      <c r="D4" s="375" t="s">
        <v>677</v>
      </c>
      <c r="E4" s="375" t="s">
        <v>676</v>
      </c>
      <c r="F4" s="375" t="s">
        <v>675</v>
      </c>
      <c r="G4" s="375" t="s">
        <v>674</v>
      </c>
    </row>
    <row r="5" spans="1:8" ht="17.399999999999999" x14ac:dyDescent="0.3">
      <c r="B5" s="366"/>
      <c r="C5" s="366"/>
      <c r="D5" s="366"/>
      <c r="E5" s="366"/>
      <c r="F5" s="366"/>
      <c r="G5" s="366"/>
    </row>
    <row r="6" spans="1:8" ht="17.55" customHeight="1" x14ac:dyDescent="0.3">
      <c r="B6" s="363" t="s">
        <v>3</v>
      </c>
      <c r="C6" s="361">
        <f>'T1'!E7</f>
        <v>24</v>
      </c>
      <c r="D6" s="361">
        <v>12</v>
      </c>
      <c r="E6" s="361">
        <v>10</v>
      </c>
      <c r="F6" s="361">
        <v>2</v>
      </c>
      <c r="G6" s="361">
        <v>0</v>
      </c>
    </row>
    <row r="7" spans="1:8" ht="17.55" customHeight="1" x14ac:dyDescent="0.3">
      <c r="B7" s="365" t="s">
        <v>8</v>
      </c>
      <c r="C7" s="364">
        <f>'T1'!E8</f>
        <v>20</v>
      </c>
      <c r="D7" s="364">
        <v>9</v>
      </c>
      <c r="E7" s="364">
        <v>11</v>
      </c>
      <c r="F7" s="364">
        <v>0</v>
      </c>
      <c r="G7" s="364">
        <v>0</v>
      </c>
    </row>
    <row r="8" spans="1:8" ht="17.55" customHeight="1" x14ac:dyDescent="0.3">
      <c r="B8" s="363" t="s">
        <v>10</v>
      </c>
      <c r="C8" s="361">
        <f>'T1'!E9</f>
        <v>18</v>
      </c>
      <c r="D8" s="361">
        <v>3</v>
      </c>
      <c r="E8" s="361">
        <v>12</v>
      </c>
      <c r="F8" s="361">
        <v>0</v>
      </c>
      <c r="G8" s="361">
        <v>3</v>
      </c>
    </row>
    <row r="9" spans="1:8" ht="17.399999999999999" x14ac:dyDescent="0.3">
      <c r="B9" s="363" t="s">
        <v>6</v>
      </c>
      <c r="C9" s="361">
        <f>'T1'!E10</f>
        <v>14.000000000000002</v>
      </c>
      <c r="D9" s="361">
        <v>7</v>
      </c>
      <c r="E9" s="361">
        <v>4</v>
      </c>
      <c r="F9" s="361">
        <v>3</v>
      </c>
      <c r="G9" s="361">
        <v>0</v>
      </c>
    </row>
    <row r="10" spans="1:8" ht="17.399999999999999" x14ac:dyDescent="0.3">
      <c r="B10" s="358" t="s">
        <v>12</v>
      </c>
      <c r="C10" s="357">
        <f>'T1'!E11</f>
        <v>5</v>
      </c>
      <c r="D10" s="357">
        <v>2</v>
      </c>
      <c r="E10" s="357">
        <v>2</v>
      </c>
      <c r="F10" s="357">
        <v>1</v>
      </c>
      <c r="G10" s="357">
        <v>0</v>
      </c>
    </row>
    <row r="11" spans="1:8" ht="17.399999999999999" x14ac:dyDescent="0.3">
      <c r="B11" s="360" t="s">
        <v>5</v>
      </c>
      <c r="C11" s="359">
        <f>'T1'!E12</f>
        <v>3</v>
      </c>
      <c r="D11" s="359">
        <v>2</v>
      </c>
      <c r="E11" s="359">
        <v>1</v>
      </c>
      <c r="F11" s="359">
        <v>0</v>
      </c>
      <c r="G11" s="359">
        <v>0</v>
      </c>
    </row>
    <row r="12" spans="1:8" ht="17.399999999999999" x14ac:dyDescent="0.3">
      <c r="B12" s="360" t="s">
        <v>20</v>
      </c>
      <c r="C12" s="359">
        <f>'T1'!E13</f>
        <v>3</v>
      </c>
      <c r="D12" s="359">
        <v>1</v>
      </c>
      <c r="E12" s="359">
        <v>0</v>
      </c>
      <c r="F12" s="359">
        <v>2</v>
      </c>
      <c r="G12" s="359">
        <v>0</v>
      </c>
    </row>
    <row r="13" spans="1:8" ht="17.399999999999999" x14ac:dyDescent="0.3">
      <c r="B13" s="360" t="s">
        <v>13</v>
      </c>
      <c r="C13" s="359">
        <f>'T1'!E14</f>
        <v>3</v>
      </c>
      <c r="D13" s="359">
        <v>1</v>
      </c>
      <c r="E13" s="359">
        <v>1</v>
      </c>
      <c r="F13" s="359">
        <v>1</v>
      </c>
      <c r="G13" s="359">
        <v>0</v>
      </c>
    </row>
    <row r="14" spans="1:8" ht="17.399999999999999" x14ac:dyDescent="0.3">
      <c r="B14" s="358" t="s">
        <v>4</v>
      </c>
      <c r="C14" s="357">
        <f>'T1'!E15</f>
        <v>3</v>
      </c>
      <c r="D14" s="357">
        <v>1</v>
      </c>
      <c r="E14" s="357">
        <v>1</v>
      </c>
      <c r="F14" s="357">
        <v>0</v>
      </c>
      <c r="G14" s="357">
        <v>1</v>
      </c>
      <c r="H14" s="383"/>
    </row>
    <row r="15" spans="1:8" ht="17.399999999999999" x14ac:dyDescent="0.3">
      <c r="B15" s="360" t="s">
        <v>7</v>
      </c>
      <c r="C15" s="359">
        <f>'T1'!E16</f>
        <v>2</v>
      </c>
      <c r="D15" s="359">
        <v>1</v>
      </c>
      <c r="E15" s="359">
        <v>0</v>
      </c>
      <c r="F15" s="359">
        <v>0</v>
      </c>
      <c r="G15" s="359">
        <v>1</v>
      </c>
    </row>
    <row r="16" spans="1:8" ht="17.399999999999999" x14ac:dyDescent="0.3">
      <c r="B16" s="358" t="s">
        <v>16</v>
      </c>
      <c r="C16" s="357">
        <f>'T1'!E17</f>
        <v>2</v>
      </c>
      <c r="D16" s="357">
        <v>1</v>
      </c>
      <c r="E16" s="357">
        <v>1</v>
      </c>
      <c r="F16" s="357">
        <v>0</v>
      </c>
      <c r="G16" s="357">
        <v>0</v>
      </c>
    </row>
    <row r="17" spans="1:7" ht="17.399999999999999" x14ac:dyDescent="0.3">
      <c r="B17" s="358" t="s">
        <v>9</v>
      </c>
      <c r="C17" s="357">
        <f>'T1'!E18</f>
        <v>1</v>
      </c>
      <c r="D17" s="357">
        <v>1</v>
      </c>
      <c r="E17" s="357">
        <v>0</v>
      </c>
      <c r="F17" s="357">
        <v>0</v>
      </c>
      <c r="G17" s="357">
        <v>0</v>
      </c>
    </row>
    <row r="18" spans="1:7" ht="17.399999999999999" x14ac:dyDescent="0.3">
      <c r="B18" s="360" t="s">
        <v>19</v>
      </c>
      <c r="C18" s="359">
        <f>'T1'!E19</f>
        <v>1</v>
      </c>
      <c r="D18" s="359">
        <v>0</v>
      </c>
      <c r="E18" s="359">
        <v>1</v>
      </c>
      <c r="F18" s="359">
        <v>0</v>
      </c>
      <c r="G18" s="359">
        <v>0</v>
      </c>
    </row>
    <row r="19" spans="1:7" ht="17.399999999999999" x14ac:dyDescent="0.3">
      <c r="B19" s="360" t="s">
        <v>21</v>
      </c>
      <c r="C19" s="359">
        <f>'T1'!E20</f>
        <v>1</v>
      </c>
      <c r="D19" s="359">
        <v>0</v>
      </c>
      <c r="E19" s="359">
        <v>1</v>
      </c>
      <c r="F19" s="359">
        <v>0</v>
      </c>
      <c r="G19" s="359">
        <v>0</v>
      </c>
    </row>
    <row r="20" spans="1:7" ht="17.399999999999999" x14ac:dyDescent="0.3">
      <c r="B20" s="358" t="s">
        <v>18</v>
      </c>
      <c r="C20" s="357">
        <f>'T1'!E21</f>
        <v>1</v>
      </c>
      <c r="D20" s="357">
        <v>0</v>
      </c>
      <c r="E20" s="357">
        <v>1</v>
      </c>
      <c r="F20" s="357">
        <v>0</v>
      </c>
      <c r="G20" s="357">
        <v>0</v>
      </c>
    </row>
    <row r="21" spans="1:7" ht="17.399999999999999" x14ac:dyDescent="0.3">
      <c r="B21" s="358" t="s">
        <v>17</v>
      </c>
      <c r="C21" s="357">
        <f>'T1'!E22</f>
        <v>1</v>
      </c>
      <c r="D21" s="357">
        <v>1</v>
      </c>
      <c r="E21" s="357">
        <v>0</v>
      </c>
      <c r="F21" s="357">
        <v>0</v>
      </c>
      <c r="G21" s="357">
        <v>0</v>
      </c>
    </row>
    <row r="22" spans="1:7" ht="17.399999999999999" x14ac:dyDescent="0.3">
      <c r="B22" s="358" t="s">
        <v>14</v>
      </c>
      <c r="C22" s="357">
        <f>'T1'!E23</f>
        <v>1</v>
      </c>
      <c r="D22" s="357">
        <v>1</v>
      </c>
      <c r="E22" s="357">
        <v>0</v>
      </c>
      <c r="F22" s="357">
        <v>0</v>
      </c>
      <c r="G22" s="357">
        <v>0</v>
      </c>
    </row>
    <row r="23" spans="1:7" ht="17.399999999999999" x14ac:dyDescent="0.3">
      <c r="B23" s="358" t="s">
        <v>11</v>
      </c>
      <c r="C23" s="357">
        <f>'T1'!E24</f>
        <v>1</v>
      </c>
      <c r="D23" s="357">
        <v>1</v>
      </c>
      <c r="E23" s="357">
        <v>0</v>
      </c>
      <c r="F23" s="357">
        <v>0</v>
      </c>
      <c r="G23" s="357">
        <v>0</v>
      </c>
    </row>
    <row r="24" spans="1:7" ht="18" thickBot="1" x14ac:dyDescent="0.35">
      <c r="B24" s="356" t="s">
        <v>15</v>
      </c>
      <c r="C24" s="354">
        <f>'T1'!E25</f>
        <v>1</v>
      </c>
      <c r="D24" s="354">
        <v>0</v>
      </c>
      <c r="E24" s="354">
        <v>1</v>
      </c>
      <c r="F24" s="354">
        <v>0</v>
      </c>
      <c r="G24" s="354">
        <v>0</v>
      </c>
    </row>
    <row r="25" spans="1:7" ht="17.399999999999999" x14ac:dyDescent="0.3">
      <c r="B25" s="353" t="s">
        <v>22</v>
      </c>
      <c r="C25" s="350">
        <f>SUM(C6:C24)</f>
        <v>105</v>
      </c>
      <c r="D25" s="350">
        <f>SUM(D6:D24)</f>
        <v>44</v>
      </c>
      <c r="E25" s="350">
        <f>SUM(E6:E24)</f>
        <v>47</v>
      </c>
      <c r="F25" s="350">
        <f>SUM(F6:F24)</f>
        <v>9</v>
      </c>
      <c r="G25" s="350">
        <f>SUM(G6:G24)</f>
        <v>5</v>
      </c>
    </row>
    <row r="26" spans="1:7" x14ac:dyDescent="0.3">
      <c r="B26" s="345"/>
    </row>
    <row r="27" spans="1:7" x14ac:dyDescent="0.3">
      <c r="A27" s="398" t="s">
        <v>698</v>
      </c>
      <c r="B27" s="398"/>
      <c r="C27" s="398"/>
      <c r="D27" s="398"/>
      <c r="E27" s="398"/>
      <c r="F27" s="398"/>
      <c r="G27" s="398"/>
    </row>
    <row r="28" spans="1:7" x14ac:dyDescent="0.3">
      <c r="A28" s="398"/>
      <c r="B28" s="398"/>
      <c r="C28" s="398"/>
      <c r="D28" s="398"/>
      <c r="E28" s="398"/>
      <c r="F28" s="398"/>
      <c r="G28" s="398"/>
    </row>
    <row r="29" spans="1:7" x14ac:dyDescent="0.3">
      <c r="A29" s="398"/>
      <c r="B29" s="398"/>
      <c r="C29" s="398"/>
      <c r="D29" s="398"/>
      <c r="E29" s="398"/>
      <c r="F29" s="398"/>
      <c r="G29" s="398"/>
    </row>
    <row r="30" spans="1:7" x14ac:dyDescent="0.3">
      <c r="A30" s="398"/>
      <c r="B30" s="398"/>
      <c r="C30" s="398"/>
      <c r="D30" s="398"/>
      <c r="E30" s="398"/>
      <c r="F30" s="398"/>
      <c r="G30" s="398"/>
    </row>
  </sheetData>
  <mergeCells count="3">
    <mergeCell ref="D3:G3"/>
    <mergeCell ref="B1:G1"/>
    <mergeCell ref="A27:G30"/>
  </mergeCells>
  <printOptions horizontalCentered="1" verticalCentered="1"/>
  <pageMargins left="0.74803149606299213" right="0.74803149606299213" top="0.98425196850393704" bottom="0.98425196850393704" header="0.51181102362204722" footer="0.51181102362204722"/>
  <pageSetup paperSize="9" scale="3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31"/>
  <sheetViews>
    <sheetView showGridLines="0" zoomScale="80" zoomScaleNormal="80" zoomScalePageLayoutView="80" workbookViewId="0">
      <selection activeCell="B1" sqref="B1:F28"/>
    </sheetView>
  </sheetViews>
  <sheetFormatPr baseColWidth="10" defaultColWidth="11" defaultRowHeight="15.6" x14ac:dyDescent="0.3"/>
  <cols>
    <col min="1" max="1" width="4.69921875" customWidth="1"/>
    <col min="2" max="2" width="27.69921875" customWidth="1"/>
    <col min="3" max="4" width="16.5" customWidth="1"/>
    <col min="5" max="5" width="20.796875" customWidth="1"/>
    <col min="6" max="6" width="16.5" customWidth="1"/>
  </cols>
  <sheetData>
    <row r="1" spans="1:8" ht="55.05" customHeight="1" x14ac:dyDescent="0.45">
      <c r="A1" s="371"/>
      <c r="B1" s="394" t="s">
        <v>696</v>
      </c>
      <c r="C1" s="394"/>
      <c r="D1" s="394"/>
      <c r="E1" s="394"/>
      <c r="F1" s="394"/>
    </row>
    <row r="3" spans="1:8" ht="34.799999999999997" x14ac:dyDescent="0.3">
      <c r="B3" s="370"/>
      <c r="C3" s="376" t="s">
        <v>671</v>
      </c>
      <c r="D3" s="376" t="s">
        <v>670</v>
      </c>
      <c r="E3" s="376" t="s">
        <v>687</v>
      </c>
      <c r="F3" s="376" t="s">
        <v>686</v>
      </c>
    </row>
    <row r="4" spans="1:8" ht="52.8" x14ac:dyDescent="0.3">
      <c r="B4" s="368"/>
      <c r="C4" s="367" t="s">
        <v>685</v>
      </c>
      <c r="D4" s="367"/>
      <c r="E4" s="367" t="s">
        <v>684</v>
      </c>
      <c r="F4" s="367"/>
    </row>
    <row r="5" spans="1:8" ht="17.399999999999999" x14ac:dyDescent="0.3">
      <c r="B5" s="366"/>
      <c r="C5" s="366"/>
      <c r="D5" s="366"/>
      <c r="E5" s="366"/>
      <c r="F5" s="366"/>
    </row>
    <row r="6" spans="1:8" ht="17.55" customHeight="1" x14ac:dyDescent="0.3">
      <c r="B6" s="363" t="s">
        <v>3</v>
      </c>
      <c r="C6" s="361">
        <v>82.18</v>
      </c>
      <c r="D6" s="362">
        <f>C6/C$25</f>
        <v>0.2417769932333039</v>
      </c>
      <c r="E6" s="381">
        <v>2791.1089000000002</v>
      </c>
      <c r="F6" s="362">
        <f t="shared" ref="F6:F28" si="0">E6/E$25</f>
        <v>0.28227480668924942</v>
      </c>
    </row>
    <row r="7" spans="1:8" ht="17.55" customHeight="1" x14ac:dyDescent="0.3">
      <c r="B7" s="365" t="s">
        <v>8</v>
      </c>
      <c r="C7" s="364">
        <v>66.760000000000005</v>
      </c>
      <c r="D7" s="362">
        <f t="shared" ref="D7:D28" si="1">C7/$C$25</f>
        <v>0.19641070903206825</v>
      </c>
      <c r="E7" s="382">
        <v>2094.982</v>
      </c>
      <c r="F7" s="362">
        <f t="shared" si="0"/>
        <v>0.21187300827547684</v>
      </c>
    </row>
    <row r="8" spans="1:8" ht="17.55" customHeight="1" x14ac:dyDescent="0.3">
      <c r="B8" s="363" t="s">
        <v>10</v>
      </c>
      <c r="C8" s="361">
        <v>60.67</v>
      </c>
      <c r="D8" s="362">
        <f t="shared" si="1"/>
        <v>0.17849367461017945</v>
      </c>
      <c r="E8" s="381">
        <v>1553.8758</v>
      </c>
      <c r="F8" s="362">
        <f t="shared" si="0"/>
        <v>0.15714900664180562</v>
      </c>
    </row>
    <row r="9" spans="1:8" ht="17.399999999999999" x14ac:dyDescent="0.3">
      <c r="B9" s="363" t="s">
        <v>6</v>
      </c>
      <c r="C9" s="361">
        <v>46.45</v>
      </c>
      <c r="D9" s="362">
        <f t="shared" si="1"/>
        <v>0.13665784054133567</v>
      </c>
      <c r="E9" s="381">
        <v>1068.2829999999999</v>
      </c>
      <c r="F9" s="362">
        <f t="shared" si="0"/>
        <v>0.10803927332051121</v>
      </c>
    </row>
    <row r="10" spans="1:8" ht="17.399999999999999" x14ac:dyDescent="0.3">
      <c r="B10" s="358" t="s">
        <v>12</v>
      </c>
      <c r="C10" s="357">
        <v>16.98</v>
      </c>
      <c r="D10" s="355">
        <f t="shared" si="1"/>
        <v>4.9955869373345098E-2</v>
      </c>
      <c r="E10" s="379">
        <v>655.57370000000003</v>
      </c>
      <c r="F10" s="355">
        <f t="shared" si="0"/>
        <v>6.6300508531951574E-2</v>
      </c>
    </row>
    <row r="11" spans="1:8" ht="17.399999999999999" x14ac:dyDescent="0.3">
      <c r="B11" s="360" t="s">
        <v>5</v>
      </c>
      <c r="C11" s="359">
        <v>11.31</v>
      </c>
      <c r="D11" s="355">
        <f t="shared" si="1"/>
        <v>3.3274492497793469E-2</v>
      </c>
      <c r="E11" s="380">
        <v>383.74009999999998</v>
      </c>
      <c r="F11" s="355">
        <f t="shared" si="0"/>
        <v>3.880900617901839E-2</v>
      </c>
    </row>
    <row r="12" spans="1:8" ht="17.399999999999999" x14ac:dyDescent="0.3">
      <c r="B12" s="360" t="s">
        <v>20</v>
      </c>
      <c r="C12" s="359">
        <v>10.78</v>
      </c>
      <c r="D12" s="355">
        <f t="shared" si="1"/>
        <v>3.1715210355987053E-2</v>
      </c>
      <c r="E12" s="380">
        <v>184.46809999999999</v>
      </c>
      <c r="F12" s="355">
        <f t="shared" si="0"/>
        <v>1.8655917462709219E-2</v>
      </c>
    </row>
    <row r="13" spans="1:8" ht="17.399999999999999" x14ac:dyDescent="0.3">
      <c r="B13" s="360" t="s">
        <v>13</v>
      </c>
      <c r="C13" s="359">
        <v>10.34</v>
      </c>
      <c r="D13" s="355">
        <f t="shared" si="1"/>
        <v>3.0420711974110028E-2</v>
      </c>
      <c r="E13" s="380">
        <v>171.8064</v>
      </c>
      <c r="F13" s="355">
        <f t="shared" si="0"/>
        <v>1.7375394542282409E-2</v>
      </c>
    </row>
    <row r="14" spans="1:8" ht="17.399999999999999" x14ac:dyDescent="0.3">
      <c r="B14" s="358" t="s">
        <v>4</v>
      </c>
      <c r="C14" s="357">
        <v>8.69</v>
      </c>
      <c r="D14" s="355">
        <f t="shared" si="1"/>
        <v>2.5566343042071192E-2</v>
      </c>
      <c r="E14" s="379">
        <v>310.47039999999998</v>
      </c>
      <c r="F14" s="355">
        <f t="shared" si="0"/>
        <v>3.1398979861636332E-2</v>
      </c>
      <c r="H14" s="383"/>
    </row>
    <row r="15" spans="1:8" ht="17.399999999999999" x14ac:dyDescent="0.3">
      <c r="B15" s="360" t="s">
        <v>7</v>
      </c>
      <c r="C15" s="359">
        <v>5.49</v>
      </c>
      <c r="D15" s="355">
        <f t="shared" si="1"/>
        <v>1.615180935569285E-2</v>
      </c>
      <c r="E15" s="380">
        <v>187.054</v>
      </c>
      <c r="F15" s="355">
        <f t="shared" si="0"/>
        <v>1.8917438760791761E-2</v>
      </c>
    </row>
    <row r="16" spans="1:8" ht="17.399999999999999" x14ac:dyDescent="0.3">
      <c r="B16" s="358" t="s">
        <v>16</v>
      </c>
      <c r="C16" s="357">
        <v>5.43</v>
      </c>
      <c r="D16" s="355">
        <f t="shared" si="1"/>
        <v>1.5975286849073254E-2</v>
      </c>
      <c r="E16" s="379">
        <v>76.346599999999995</v>
      </c>
      <c r="F16" s="355">
        <f t="shared" si="0"/>
        <v>7.7212041982243854E-3</v>
      </c>
    </row>
    <row r="17" spans="2:6" ht="17.399999999999999" customHeight="1" x14ac:dyDescent="0.3">
      <c r="B17" s="358" t="s">
        <v>9</v>
      </c>
      <c r="C17" s="357">
        <v>4.72</v>
      </c>
      <c r="D17" s="355">
        <f t="shared" si="1"/>
        <v>1.3886437187408059E-2</v>
      </c>
      <c r="E17" s="379">
        <v>228.76689999999999</v>
      </c>
      <c r="F17" s="355">
        <f t="shared" si="0"/>
        <v>2.3136013243481416E-2</v>
      </c>
    </row>
    <row r="18" spans="2:6" ht="17.399999999999999" x14ac:dyDescent="0.3">
      <c r="B18" s="360" t="s">
        <v>19</v>
      </c>
      <c r="C18" s="359">
        <v>2.89</v>
      </c>
      <c r="D18" s="355">
        <f t="shared" si="1"/>
        <v>8.5025007355104439E-3</v>
      </c>
      <c r="E18" s="380">
        <v>33.649799999999999</v>
      </c>
      <c r="F18" s="355">
        <f t="shared" si="0"/>
        <v>3.4031243962325884E-3</v>
      </c>
    </row>
    <row r="19" spans="2:6" ht="17.399999999999999" x14ac:dyDescent="0.3">
      <c r="B19" s="360" t="s">
        <v>21</v>
      </c>
      <c r="C19" s="359">
        <v>2.06</v>
      </c>
      <c r="D19" s="355">
        <f t="shared" si="1"/>
        <v>6.0606060606060597E-3</v>
      </c>
      <c r="E19" s="380">
        <v>37.050400000000003</v>
      </c>
      <c r="F19" s="355">
        <f t="shared" si="0"/>
        <v>3.7470392136112521E-3</v>
      </c>
    </row>
    <row r="20" spans="2:6" ht="17.399999999999999" x14ac:dyDescent="0.3">
      <c r="B20" s="358" t="s">
        <v>18</v>
      </c>
      <c r="C20" s="357">
        <v>1.97</v>
      </c>
      <c r="D20" s="355">
        <f t="shared" si="1"/>
        <v>5.7958223006766693E-3</v>
      </c>
      <c r="E20" s="379">
        <v>21.208400000000001</v>
      </c>
      <c r="F20" s="355">
        <f t="shared" si="0"/>
        <v>2.1448812012273247E-3</v>
      </c>
    </row>
    <row r="21" spans="2:6" ht="17.399999999999999" x14ac:dyDescent="0.3">
      <c r="B21" s="358" t="s">
        <v>17</v>
      </c>
      <c r="C21" s="357">
        <v>1.32</v>
      </c>
      <c r="D21" s="355">
        <f t="shared" si="1"/>
        <v>3.8834951456310678E-3</v>
      </c>
      <c r="E21" s="379">
        <v>17.472000000000001</v>
      </c>
      <c r="F21" s="355">
        <f t="shared" si="0"/>
        <v>1.767005731118039E-3</v>
      </c>
    </row>
    <row r="22" spans="2:6" ht="17.399999999999999" x14ac:dyDescent="0.3">
      <c r="B22" s="358" t="s">
        <v>14</v>
      </c>
      <c r="C22" s="357">
        <v>0.85</v>
      </c>
      <c r="D22" s="355">
        <f t="shared" si="1"/>
        <v>2.5007355104442481E-3</v>
      </c>
      <c r="E22" s="379">
        <v>17.6555</v>
      </c>
      <c r="F22" s="355">
        <f t="shared" si="0"/>
        <v>1.7855637411718485E-3</v>
      </c>
    </row>
    <row r="23" spans="2:6" ht="17.399999999999999" x14ac:dyDescent="0.3">
      <c r="B23" s="358" t="s">
        <v>11</v>
      </c>
      <c r="C23" s="357">
        <v>0.57999999999999996</v>
      </c>
      <c r="D23" s="355">
        <f t="shared" si="1"/>
        <v>1.706384230656075E-3</v>
      </c>
      <c r="E23" s="379">
        <v>46.030900000000003</v>
      </c>
      <c r="F23" s="355">
        <f t="shared" si="0"/>
        <v>4.6552692369803885E-3</v>
      </c>
    </row>
    <row r="24" spans="2:6" ht="18" thickBot="1" x14ac:dyDescent="0.35">
      <c r="B24" s="356" t="s">
        <v>15</v>
      </c>
      <c r="C24" s="354">
        <v>0.43</v>
      </c>
      <c r="D24" s="355">
        <f t="shared" si="1"/>
        <v>1.2650779641070903E-3</v>
      </c>
      <c r="E24" s="378">
        <v>8.3706999999999994</v>
      </c>
      <c r="F24" s="355">
        <f t="shared" si="0"/>
        <v>8.4655877252001873E-4</v>
      </c>
    </row>
    <row r="25" spans="2:6" ht="17.399999999999999" x14ac:dyDescent="0.3">
      <c r="B25" s="353" t="s">
        <v>22</v>
      </c>
      <c r="C25" s="352">
        <f>SUM(C6:C24)</f>
        <v>339.90000000000003</v>
      </c>
      <c r="D25" s="351">
        <f t="shared" si="1"/>
        <v>1</v>
      </c>
      <c r="E25" s="350">
        <f>SUM(E6:E24)</f>
        <v>9887.9135999999999</v>
      </c>
      <c r="F25" s="351">
        <f t="shared" si="0"/>
        <v>1</v>
      </c>
    </row>
    <row r="26" spans="2:6" ht="18" customHeight="1" x14ac:dyDescent="0.3">
      <c r="B26" s="349" t="s">
        <v>683</v>
      </c>
      <c r="C26" s="348">
        <f>C6</f>
        <v>82.18</v>
      </c>
      <c r="D26" s="347">
        <f t="shared" si="1"/>
        <v>0.2417769932333039</v>
      </c>
      <c r="E26" s="346">
        <f>E6</f>
        <v>2791.1089000000002</v>
      </c>
      <c r="F26" s="347">
        <f t="shared" si="0"/>
        <v>0.28227480668924942</v>
      </c>
    </row>
    <row r="27" spans="2:6" ht="18" customHeight="1" x14ac:dyDescent="0.3">
      <c r="B27" s="349" t="s">
        <v>682</v>
      </c>
      <c r="C27" s="348">
        <f>C7+C8+C9</f>
        <v>173.88</v>
      </c>
      <c r="D27" s="347">
        <f t="shared" si="1"/>
        <v>0.51156222418358333</v>
      </c>
      <c r="E27" s="346">
        <f>E7+E8+E9</f>
        <v>4717.1407999999992</v>
      </c>
      <c r="F27" s="347">
        <f t="shared" si="0"/>
        <v>0.47706128823779359</v>
      </c>
    </row>
    <row r="28" spans="2:6" ht="18" customHeight="1" x14ac:dyDescent="0.3">
      <c r="B28" s="349" t="s">
        <v>681</v>
      </c>
      <c r="C28" s="348">
        <f>C25-C26-C27</f>
        <v>83.840000000000032</v>
      </c>
      <c r="D28" s="347">
        <f t="shared" si="1"/>
        <v>0.24666078258311275</v>
      </c>
      <c r="E28" s="346">
        <f>E25-E26-E27</f>
        <v>2379.6639000000005</v>
      </c>
      <c r="F28" s="347">
        <f t="shared" si="0"/>
        <v>0.24066390507295699</v>
      </c>
    </row>
    <row r="29" spans="2:6" x14ac:dyDescent="0.3">
      <c r="B29" s="345" t="s">
        <v>26</v>
      </c>
    </row>
    <row r="30" spans="2:6" x14ac:dyDescent="0.3">
      <c r="B30" t="s">
        <v>25</v>
      </c>
      <c r="C30" s="3" t="s">
        <v>23</v>
      </c>
    </row>
    <row r="31" spans="2:6" x14ac:dyDescent="0.3">
      <c r="B31" t="s">
        <v>27</v>
      </c>
      <c r="C31" s="3" t="s">
        <v>28</v>
      </c>
      <c r="F31" t="s">
        <v>29</v>
      </c>
    </row>
  </sheetData>
  <mergeCells count="1">
    <mergeCell ref="B1:F1"/>
  </mergeCells>
  <hyperlinks>
    <hyperlink ref="C30" r:id="rId1"/>
    <hyperlink ref="C31" r:id="rId2"/>
  </hyperlinks>
  <printOptions horizontalCentered="1" verticalCentered="1"/>
  <pageMargins left="0.74803149606299213" right="0.74803149606299213" top="0.98425196850393704" bottom="0.98425196850393704" header="0.51181102362204722" footer="0.51181102362204722"/>
  <pageSetup paperSize="9" scale="30"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33"/>
  <sheetViews>
    <sheetView showGridLines="0" zoomScale="80" zoomScaleNormal="80" zoomScalePageLayoutView="80" workbookViewId="0">
      <selection activeCell="E3" sqref="E3:E4"/>
    </sheetView>
  </sheetViews>
  <sheetFormatPr baseColWidth="10" defaultColWidth="11" defaultRowHeight="15.6" x14ac:dyDescent="0.3"/>
  <cols>
    <col min="1" max="1" width="4.69921875" customWidth="1"/>
    <col min="2" max="2" width="14.19921875" customWidth="1"/>
    <col min="3" max="3" width="16.5" customWidth="1"/>
    <col min="4" max="4" width="21.3984375" customWidth="1"/>
    <col min="5" max="5" width="24.09765625" customWidth="1"/>
  </cols>
  <sheetData>
    <row r="1" spans="1:8" ht="49.95" customHeight="1" x14ac:dyDescent="0.45">
      <c r="A1" s="371"/>
      <c r="B1" s="394" t="s">
        <v>700</v>
      </c>
      <c r="C1" s="394"/>
      <c r="D1" s="394"/>
      <c r="E1" s="394"/>
    </row>
    <row r="3" spans="1:8" ht="40.049999999999997" customHeight="1" x14ac:dyDescent="0.3">
      <c r="B3" s="370"/>
      <c r="C3" s="395" t="s">
        <v>671</v>
      </c>
      <c r="D3" s="395" t="s">
        <v>722</v>
      </c>
      <c r="E3" s="395" t="s">
        <v>701</v>
      </c>
    </row>
    <row r="4" spans="1:8" ht="40.049999999999997" customHeight="1" x14ac:dyDescent="0.3">
      <c r="B4" s="369"/>
      <c r="C4" s="396"/>
      <c r="D4" s="396"/>
      <c r="E4" s="396"/>
    </row>
    <row r="5" spans="1:8" ht="79.2" x14ac:dyDescent="0.3">
      <c r="B5" s="368"/>
      <c r="C5" s="367" t="s">
        <v>702</v>
      </c>
      <c r="D5" s="367"/>
      <c r="E5" s="367" t="s">
        <v>703</v>
      </c>
    </row>
    <row r="6" spans="1:8" ht="17.399999999999999" x14ac:dyDescent="0.3">
      <c r="B6" s="366"/>
      <c r="C6" s="366"/>
      <c r="D6" s="366"/>
      <c r="E6" s="366"/>
    </row>
    <row r="7" spans="1:8" ht="17.55" customHeight="1" x14ac:dyDescent="0.3">
      <c r="B7" s="363" t="s">
        <v>704</v>
      </c>
      <c r="C7" s="361">
        <v>82.18</v>
      </c>
      <c r="D7" s="362">
        <f>C7/C$26</f>
        <v>0.2417769932333039</v>
      </c>
      <c r="E7" s="361">
        <f t="shared" ref="E7:E25" si="0">IF($D7&gt;0.01,ROUND($D7,2)*100,1)</f>
        <v>24</v>
      </c>
    </row>
    <row r="8" spans="1:8" ht="17.55" customHeight="1" x14ac:dyDescent="0.3">
      <c r="B8" s="365" t="s">
        <v>8</v>
      </c>
      <c r="C8" s="364">
        <v>66.760000000000005</v>
      </c>
      <c r="D8" s="362">
        <f t="shared" ref="D8:D26" si="1">C8/$C$26</f>
        <v>0.19641070903206825</v>
      </c>
      <c r="E8" s="364">
        <f t="shared" si="0"/>
        <v>20</v>
      </c>
    </row>
    <row r="9" spans="1:8" ht="17.55" customHeight="1" x14ac:dyDescent="0.3">
      <c r="B9" s="363" t="s">
        <v>705</v>
      </c>
      <c r="C9" s="361">
        <v>60.67</v>
      </c>
      <c r="D9" s="362">
        <f t="shared" si="1"/>
        <v>0.17849367461017945</v>
      </c>
      <c r="E9" s="361">
        <f t="shared" si="0"/>
        <v>18</v>
      </c>
    </row>
    <row r="10" spans="1:8" ht="17.399999999999999" x14ac:dyDescent="0.3">
      <c r="B10" s="363" t="s">
        <v>706</v>
      </c>
      <c r="C10" s="361">
        <v>46.45</v>
      </c>
      <c r="D10" s="362">
        <f t="shared" si="1"/>
        <v>0.13665784054133567</v>
      </c>
      <c r="E10" s="361">
        <f t="shared" si="0"/>
        <v>14.000000000000002</v>
      </c>
    </row>
    <row r="11" spans="1:8" ht="17.399999999999999" x14ac:dyDescent="0.3">
      <c r="B11" s="358" t="s">
        <v>707</v>
      </c>
      <c r="C11" s="357">
        <v>16.98</v>
      </c>
      <c r="D11" s="355">
        <f t="shared" si="1"/>
        <v>4.9955869373345098E-2</v>
      </c>
      <c r="E11" s="357">
        <f t="shared" si="0"/>
        <v>5</v>
      </c>
    </row>
    <row r="12" spans="1:8" ht="17.399999999999999" x14ac:dyDescent="0.3">
      <c r="B12" s="360" t="s">
        <v>708</v>
      </c>
      <c r="C12" s="359">
        <v>11.31</v>
      </c>
      <c r="D12" s="355">
        <f t="shared" si="1"/>
        <v>3.3274492497793469E-2</v>
      </c>
      <c r="E12" s="359">
        <f t="shared" si="0"/>
        <v>3</v>
      </c>
    </row>
    <row r="13" spans="1:8" ht="17.399999999999999" x14ac:dyDescent="0.3">
      <c r="B13" s="360" t="s">
        <v>709</v>
      </c>
      <c r="C13" s="359">
        <v>10.78</v>
      </c>
      <c r="D13" s="355">
        <f t="shared" si="1"/>
        <v>3.1715210355987053E-2</v>
      </c>
      <c r="E13" s="359">
        <f t="shared" si="0"/>
        <v>3</v>
      </c>
    </row>
    <row r="14" spans="1:8" ht="17.399999999999999" x14ac:dyDescent="0.3">
      <c r="B14" s="360" t="s">
        <v>13</v>
      </c>
      <c r="C14" s="359">
        <v>10.34</v>
      </c>
      <c r="D14" s="355">
        <f t="shared" si="1"/>
        <v>3.0420711974110028E-2</v>
      </c>
      <c r="E14" s="359">
        <f t="shared" si="0"/>
        <v>3</v>
      </c>
      <c r="H14" s="383"/>
    </row>
    <row r="15" spans="1:8" ht="17.399999999999999" x14ac:dyDescent="0.3">
      <c r="B15" s="358" t="s">
        <v>710</v>
      </c>
      <c r="C15" s="357">
        <v>8.69</v>
      </c>
      <c r="D15" s="355">
        <f t="shared" si="1"/>
        <v>2.5566343042071192E-2</v>
      </c>
      <c r="E15" s="357">
        <f t="shared" si="0"/>
        <v>3</v>
      </c>
    </row>
    <row r="16" spans="1:8" ht="17.399999999999999" x14ac:dyDescent="0.3">
      <c r="B16" s="360" t="s">
        <v>711</v>
      </c>
      <c r="C16" s="359">
        <v>5.49</v>
      </c>
      <c r="D16" s="355">
        <f t="shared" si="1"/>
        <v>1.615180935569285E-2</v>
      </c>
      <c r="E16" s="359">
        <f t="shared" si="0"/>
        <v>2</v>
      </c>
    </row>
    <row r="17" spans="2:5" ht="17.399999999999999" x14ac:dyDescent="0.3">
      <c r="B17" s="358" t="s">
        <v>712</v>
      </c>
      <c r="C17" s="357">
        <v>5.43</v>
      </c>
      <c r="D17" s="355">
        <f t="shared" si="1"/>
        <v>1.5975286849073254E-2</v>
      </c>
      <c r="E17" s="357">
        <f t="shared" si="0"/>
        <v>2</v>
      </c>
    </row>
    <row r="18" spans="2:5" ht="17.399999999999999" x14ac:dyDescent="0.3">
      <c r="B18" s="358" t="s">
        <v>713</v>
      </c>
      <c r="C18" s="357">
        <v>4.72</v>
      </c>
      <c r="D18" s="355">
        <f t="shared" si="1"/>
        <v>1.3886437187408059E-2</v>
      </c>
      <c r="E18" s="357">
        <f t="shared" si="0"/>
        <v>1</v>
      </c>
    </row>
    <row r="19" spans="2:5" ht="17.399999999999999" x14ac:dyDescent="0.3">
      <c r="B19" s="360" t="s">
        <v>714</v>
      </c>
      <c r="C19" s="359">
        <v>2.89</v>
      </c>
      <c r="D19" s="355">
        <f t="shared" si="1"/>
        <v>8.5025007355104439E-3</v>
      </c>
      <c r="E19" s="359">
        <f t="shared" si="0"/>
        <v>1</v>
      </c>
    </row>
    <row r="20" spans="2:5" ht="17.399999999999999" customHeight="1" x14ac:dyDescent="0.3">
      <c r="B20" s="360" t="s">
        <v>715</v>
      </c>
      <c r="C20" s="359">
        <v>2.06</v>
      </c>
      <c r="D20" s="355">
        <f t="shared" si="1"/>
        <v>6.0606060606060597E-3</v>
      </c>
      <c r="E20" s="359">
        <f t="shared" si="0"/>
        <v>1</v>
      </c>
    </row>
    <row r="21" spans="2:5" ht="17.399999999999999" x14ac:dyDescent="0.3">
      <c r="B21" s="358" t="s">
        <v>716</v>
      </c>
      <c r="C21" s="357">
        <v>1.97</v>
      </c>
      <c r="D21" s="355">
        <f t="shared" si="1"/>
        <v>5.7958223006766693E-3</v>
      </c>
      <c r="E21" s="357">
        <f t="shared" si="0"/>
        <v>1</v>
      </c>
    </row>
    <row r="22" spans="2:5" ht="17.399999999999999" x14ac:dyDescent="0.3">
      <c r="B22" s="358" t="s">
        <v>717</v>
      </c>
      <c r="C22" s="357">
        <v>1.32</v>
      </c>
      <c r="D22" s="355">
        <f t="shared" si="1"/>
        <v>3.8834951456310678E-3</v>
      </c>
      <c r="E22" s="357">
        <f t="shared" si="0"/>
        <v>1</v>
      </c>
    </row>
    <row r="23" spans="2:5" ht="17.399999999999999" x14ac:dyDescent="0.3">
      <c r="B23" s="358" t="s">
        <v>718</v>
      </c>
      <c r="C23" s="357">
        <v>0.85</v>
      </c>
      <c r="D23" s="355">
        <f t="shared" si="1"/>
        <v>2.5007355104442481E-3</v>
      </c>
      <c r="E23" s="357">
        <f t="shared" si="0"/>
        <v>1</v>
      </c>
    </row>
    <row r="24" spans="2:5" ht="17.399999999999999" x14ac:dyDescent="0.3">
      <c r="B24" s="358" t="s">
        <v>11</v>
      </c>
      <c r="C24" s="357">
        <v>0.57999999999999996</v>
      </c>
      <c r="D24" s="355">
        <f t="shared" si="1"/>
        <v>1.706384230656075E-3</v>
      </c>
      <c r="E24" s="357">
        <f t="shared" si="0"/>
        <v>1</v>
      </c>
    </row>
    <row r="25" spans="2:5" ht="18" thickBot="1" x14ac:dyDescent="0.35">
      <c r="B25" s="356" t="s">
        <v>719</v>
      </c>
      <c r="C25" s="354">
        <v>0.43</v>
      </c>
      <c r="D25" s="355">
        <f t="shared" si="1"/>
        <v>1.2650779641070903E-3</v>
      </c>
      <c r="E25" s="354">
        <f t="shared" si="0"/>
        <v>1</v>
      </c>
    </row>
    <row r="26" spans="2:5" ht="17.399999999999999" x14ac:dyDescent="0.3">
      <c r="B26" s="353"/>
      <c r="C26" s="352">
        <f>SUM(C7:C25)</f>
        <v>339.90000000000003</v>
      </c>
      <c r="D26" s="351">
        <f t="shared" si="1"/>
        <v>1</v>
      </c>
      <c r="E26" s="350">
        <f>SUM(E7:E25)</f>
        <v>105</v>
      </c>
    </row>
    <row r="27" spans="2:5" ht="18" customHeight="1" x14ac:dyDescent="0.3">
      <c r="B27" s="393" t="s">
        <v>720</v>
      </c>
      <c r="C27" s="393"/>
      <c r="D27" s="393"/>
      <c r="E27" s="346">
        <v>25</v>
      </c>
    </row>
    <row r="28" spans="2:5" ht="18" customHeight="1" x14ac:dyDescent="0.3">
      <c r="B28" s="393" t="s">
        <v>721</v>
      </c>
      <c r="C28" s="393"/>
      <c r="D28" s="393"/>
      <c r="E28" s="346">
        <v>130</v>
      </c>
    </row>
    <row r="29" spans="2:5" ht="17.399999999999999" x14ac:dyDescent="0.3">
      <c r="B29" s="349"/>
      <c r="C29" s="348"/>
      <c r="D29" s="347"/>
      <c r="E29" s="346"/>
    </row>
    <row r="30" spans="2:5" ht="17.399999999999999" x14ac:dyDescent="0.3">
      <c r="B30" s="349"/>
      <c r="C30" s="348"/>
      <c r="D30" s="347"/>
      <c r="E30" s="346"/>
    </row>
    <row r="31" spans="2:5" x14ac:dyDescent="0.3">
      <c r="B31" s="345" t="s">
        <v>26</v>
      </c>
    </row>
    <row r="32" spans="2:5" x14ac:dyDescent="0.3">
      <c r="B32" t="s">
        <v>25</v>
      </c>
      <c r="C32" s="3" t="s">
        <v>23</v>
      </c>
    </row>
    <row r="33" spans="2:3" x14ac:dyDescent="0.3">
      <c r="B33" t="s">
        <v>27</v>
      </c>
      <c r="C33" s="3" t="s">
        <v>28</v>
      </c>
    </row>
  </sheetData>
  <mergeCells count="6">
    <mergeCell ref="B1:E1"/>
    <mergeCell ref="C3:C4"/>
    <mergeCell ref="D3:D4"/>
    <mergeCell ref="E3:E4"/>
    <mergeCell ref="B27:D27"/>
    <mergeCell ref="B28:D28"/>
  </mergeCells>
  <hyperlinks>
    <hyperlink ref="C33" r:id="rId1"/>
    <hyperlink ref="C32" r:id="rId2"/>
  </hyperlinks>
  <printOptions horizontalCentered="1" verticalCentered="1"/>
  <pageMargins left="0.74803149606299213" right="0.74803149606299213" top="0.98425196850393704" bottom="0.98425196850393704" header="0.51181102362204722" footer="0.51181102362204722"/>
  <pageSetup paperSize="9" scale="32"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35"/>
  <sheetViews>
    <sheetView showGridLines="0" zoomScale="80" zoomScaleNormal="80" zoomScalePageLayoutView="80" workbookViewId="0">
      <selection activeCell="K15" sqref="K15"/>
    </sheetView>
  </sheetViews>
  <sheetFormatPr baseColWidth="10" defaultColWidth="11" defaultRowHeight="15.6" x14ac:dyDescent="0.3"/>
  <cols>
    <col min="1" max="1" width="4.69921875" customWidth="1"/>
    <col min="2" max="2" width="17.796875" customWidth="1"/>
    <col min="3" max="3" width="16.5" customWidth="1"/>
    <col min="4" max="4" width="20.8984375" customWidth="1"/>
    <col min="5" max="6" width="20.69921875" customWidth="1"/>
  </cols>
  <sheetData>
    <row r="1" spans="1:8" ht="49.95" customHeight="1" x14ac:dyDescent="0.45">
      <c r="A1" s="371"/>
      <c r="B1" s="394" t="s">
        <v>694</v>
      </c>
      <c r="C1" s="394"/>
      <c r="D1" s="394"/>
      <c r="E1" s="394"/>
      <c r="F1" s="394"/>
    </row>
    <row r="3" spans="1:8" ht="60" customHeight="1" x14ac:dyDescent="0.3">
      <c r="B3" s="370"/>
      <c r="C3" s="395" t="s">
        <v>671</v>
      </c>
      <c r="D3" s="395" t="s">
        <v>722</v>
      </c>
      <c r="E3" s="395" t="s">
        <v>673</v>
      </c>
      <c r="F3" s="395"/>
    </row>
    <row r="4" spans="1:8" ht="55.05" customHeight="1" x14ac:dyDescent="0.3">
      <c r="B4" s="369"/>
      <c r="C4" s="396"/>
      <c r="D4" s="396"/>
      <c r="E4" s="386" t="s">
        <v>699</v>
      </c>
      <c r="F4" s="386" t="s">
        <v>693</v>
      </c>
    </row>
    <row r="5" spans="1:8" ht="92.4" x14ac:dyDescent="0.3">
      <c r="B5" s="374"/>
      <c r="C5" s="367" t="s">
        <v>702</v>
      </c>
      <c r="D5" s="367"/>
      <c r="E5" s="367" t="s">
        <v>667</v>
      </c>
      <c r="F5" s="367" t="s">
        <v>672</v>
      </c>
    </row>
    <row r="6" spans="1:8" ht="17.399999999999999" x14ac:dyDescent="0.3">
      <c r="B6" s="366"/>
      <c r="C6" s="366"/>
      <c r="D6" s="366"/>
      <c r="E6" s="366"/>
      <c r="F6" s="366"/>
    </row>
    <row r="7" spans="1:8" ht="17.55" customHeight="1" x14ac:dyDescent="0.3">
      <c r="B7" s="363" t="s">
        <v>704</v>
      </c>
      <c r="C7" s="361">
        <v>82.18</v>
      </c>
      <c r="D7" s="362">
        <f>C7/C$26</f>
        <v>0.2417769932333039</v>
      </c>
      <c r="E7" s="361">
        <f t="shared" ref="E7:E25" si="0">IF($D7&gt;0.01,ROUND($D7,2)*100,1)</f>
        <v>24</v>
      </c>
      <c r="F7" s="373">
        <f t="shared" ref="F7:F17" si="1">3*E7</f>
        <v>72</v>
      </c>
    </row>
    <row r="8" spans="1:8" ht="17.55" customHeight="1" x14ac:dyDescent="0.3">
      <c r="B8" s="365" t="s">
        <v>8</v>
      </c>
      <c r="C8" s="364">
        <v>66.760000000000005</v>
      </c>
      <c r="D8" s="362">
        <f t="shared" ref="D8:D26" si="2">C8/$C$26</f>
        <v>0.19641070903206825</v>
      </c>
      <c r="E8" s="364">
        <f t="shared" si="0"/>
        <v>20</v>
      </c>
      <c r="F8" s="373">
        <f t="shared" si="1"/>
        <v>60</v>
      </c>
    </row>
    <row r="9" spans="1:8" ht="17.55" customHeight="1" x14ac:dyDescent="0.3">
      <c r="B9" s="363" t="s">
        <v>705</v>
      </c>
      <c r="C9" s="361">
        <v>60.67</v>
      </c>
      <c r="D9" s="362">
        <f t="shared" si="2"/>
        <v>0.17849367461017945</v>
      </c>
      <c r="E9" s="361">
        <f t="shared" si="0"/>
        <v>18</v>
      </c>
      <c r="F9" s="373">
        <f t="shared" si="1"/>
        <v>54</v>
      </c>
    </row>
    <row r="10" spans="1:8" ht="17.399999999999999" x14ac:dyDescent="0.3">
      <c r="B10" s="363" t="s">
        <v>706</v>
      </c>
      <c r="C10" s="361">
        <v>46.45</v>
      </c>
      <c r="D10" s="362">
        <f t="shared" si="2"/>
        <v>0.13665784054133567</v>
      </c>
      <c r="E10" s="361">
        <f t="shared" si="0"/>
        <v>14.000000000000002</v>
      </c>
      <c r="F10" s="373">
        <f t="shared" si="1"/>
        <v>42.000000000000007</v>
      </c>
    </row>
    <row r="11" spans="1:8" ht="17.399999999999999" x14ac:dyDescent="0.3">
      <c r="B11" s="358" t="s">
        <v>707</v>
      </c>
      <c r="C11" s="357">
        <v>16.98</v>
      </c>
      <c r="D11" s="355">
        <f t="shared" si="2"/>
        <v>4.9955869373345098E-2</v>
      </c>
      <c r="E11" s="357">
        <f t="shared" si="0"/>
        <v>5</v>
      </c>
      <c r="F11" s="372">
        <f t="shared" si="1"/>
        <v>15</v>
      </c>
    </row>
    <row r="12" spans="1:8" ht="17.399999999999999" x14ac:dyDescent="0.3">
      <c r="B12" s="360" t="s">
        <v>708</v>
      </c>
      <c r="C12" s="359">
        <v>11.31</v>
      </c>
      <c r="D12" s="355">
        <f t="shared" si="2"/>
        <v>3.3274492497793469E-2</v>
      </c>
      <c r="E12" s="359">
        <f t="shared" si="0"/>
        <v>3</v>
      </c>
      <c r="F12" s="372">
        <f t="shared" si="1"/>
        <v>9</v>
      </c>
    </row>
    <row r="13" spans="1:8" ht="17.399999999999999" x14ac:dyDescent="0.3">
      <c r="B13" s="360" t="s">
        <v>709</v>
      </c>
      <c r="C13" s="359">
        <v>10.78</v>
      </c>
      <c r="D13" s="355">
        <f t="shared" si="2"/>
        <v>3.1715210355987053E-2</v>
      </c>
      <c r="E13" s="359">
        <f t="shared" si="0"/>
        <v>3</v>
      </c>
      <c r="F13" s="372">
        <f t="shared" si="1"/>
        <v>9</v>
      </c>
    </row>
    <row r="14" spans="1:8" ht="17.399999999999999" x14ac:dyDescent="0.3">
      <c r="B14" s="360" t="s">
        <v>13</v>
      </c>
      <c r="C14" s="359">
        <v>10.34</v>
      </c>
      <c r="D14" s="355">
        <f t="shared" si="2"/>
        <v>3.0420711974110028E-2</v>
      </c>
      <c r="E14" s="359">
        <f t="shared" si="0"/>
        <v>3</v>
      </c>
      <c r="F14" s="372">
        <f t="shared" si="1"/>
        <v>9</v>
      </c>
      <c r="H14" s="383"/>
    </row>
    <row r="15" spans="1:8" ht="17.399999999999999" x14ac:dyDescent="0.3">
      <c r="B15" s="358" t="s">
        <v>710</v>
      </c>
      <c r="C15" s="357">
        <v>8.69</v>
      </c>
      <c r="D15" s="355">
        <f t="shared" si="2"/>
        <v>2.5566343042071192E-2</v>
      </c>
      <c r="E15" s="357">
        <f t="shared" si="0"/>
        <v>3</v>
      </c>
      <c r="F15" s="372">
        <f t="shared" si="1"/>
        <v>9</v>
      </c>
    </row>
    <row r="16" spans="1:8" ht="17.399999999999999" x14ac:dyDescent="0.3">
      <c r="B16" s="360" t="s">
        <v>711</v>
      </c>
      <c r="C16" s="359">
        <v>5.49</v>
      </c>
      <c r="D16" s="355">
        <f t="shared" si="2"/>
        <v>1.615180935569285E-2</v>
      </c>
      <c r="E16" s="359">
        <f t="shared" si="0"/>
        <v>2</v>
      </c>
      <c r="F16" s="372">
        <f t="shared" si="1"/>
        <v>6</v>
      </c>
    </row>
    <row r="17" spans="2:6" ht="17.399999999999999" x14ac:dyDescent="0.3">
      <c r="B17" s="358" t="s">
        <v>712</v>
      </c>
      <c r="C17" s="357">
        <v>5.43</v>
      </c>
      <c r="D17" s="355">
        <f t="shared" si="2"/>
        <v>1.5975286849073254E-2</v>
      </c>
      <c r="E17" s="357">
        <f t="shared" si="0"/>
        <v>2</v>
      </c>
      <c r="F17" s="372">
        <f t="shared" si="1"/>
        <v>6</v>
      </c>
    </row>
    <row r="18" spans="2:6" ht="17.399999999999999" x14ac:dyDescent="0.3">
      <c r="B18" s="358" t="s">
        <v>713</v>
      </c>
      <c r="C18" s="357">
        <v>4.72</v>
      </c>
      <c r="D18" s="355">
        <f t="shared" si="2"/>
        <v>1.3886437187408059E-2</v>
      </c>
      <c r="E18" s="357">
        <f t="shared" si="0"/>
        <v>1</v>
      </c>
      <c r="F18" s="372">
        <f>3*E18+3</f>
        <v>6</v>
      </c>
    </row>
    <row r="19" spans="2:6" ht="17.399999999999999" x14ac:dyDescent="0.3">
      <c r="B19" s="360" t="s">
        <v>714</v>
      </c>
      <c r="C19" s="359">
        <v>2.89</v>
      </c>
      <c r="D19" s="355">
        <f t="shared" si="2"/>
        <v>8.5025007355104439E-3</v>
      </c>
      <c r="E19" s="359">
        <f t="shared" si="0"/>
        <v>1</v>
      </c>
      <c r="F19" s="372">
        <f>3*E19+2</f>
        <v>5</v>
      </c>
    </row>
    <row r="20" spans="2:6" ht="17.399999999999999" x14ac:dyDescent="0.3">
      <c r="B20" s="360" t="s">
        <v>715</v>
      </c>
      <c r="C20" s="359">
        <v>2.06</v>
      </c>
      <c r="D20" s="355">
        <f t="shared" si="2"/>
        <v>6.0606060606060597E-3</v>
      </c>
      <c r="E20" s="359">
        <f t="shared" si="0"/>
        <v>1</v>
      </c>
      <c r="F20" s="372">
        <f t="shared" ref="F20:F25" si="3">3*E20</f>
        <v>3</v>
      </c>
    </row>
    <row r="21" spans="2:6" ht="17.399999999999999" x14ac:dyDescent="0.3">
      <c r="B21" s="358" t="s">
        <v>716</v>
      </c>
      <c r="C21" s="357">
        <v>1.97</v>
      </c>
      <c r="D21" s="355">
        <f t="shared" si="2"/>
        <v>5.7958223006766693E-3</v>
      </c>
      <c r="E21" s="357">
        <f t="shared" si="0"/>
        <v>1</v>
      </c>
      <c r="F21" s="372">
        <f t="shared" si="3"/>
        <v>3</v>
      </c>
    </row>
    <row r="22" spans="2:6" ht="17.399999999999999" x14ac:dyDescent="0.3">
      <c r="B22" s="358" t="s">
        <v>717</v>
      </c>
      <c r="C22" s="357">
        <v>1.32</v>
      </c>
      <c r="D22" s="355">
        <f t="shared" si="2"/>
        <v>3.8834951456310678E-3</v>
      </c>
      <c r="E22" s="357">
        <f t="shared" si="0"/>
        <v>1</v>
      </c>
      <c r="F22" s="372">
        <f t="shared" si="3"/>
        <v>3</v>
      </c>
    </row>
    <row r="23" spans="2:6" ht="17.399999999999999" x14ac:dyDescent="0.3">
      <c r="B23" s="358" t="s">
        <v>718</v>
      </c>
      <c r="C23" s="357">
        <v>0.85</v>
      </c>
      <c r="D23" s="355">
        <f t="shared" si="2"/>
        <v>2.5007355104442481E-3</v>
      </c>
      <c r="E23" s="357">
        <f t="shared" si="0"/>
        <v>1</v>
      </c>
      <c r="F23" s="372">
        <f t="shared" si="3"/>
        <v>3</v>
      </c>
    </row>
    <row r="24" spans="2:6" ht="17.399999999999999" x14ac:dyDescent="0.3">
      <c r="B24" s="358" t="s">
        <v>11</v>
      </c>
      <c r="C24" s="357">
        <v>0.57999999999999996</v>
      </c>
      <c r="D24" s="355">
        <f t="shared" si="2"/>
        <v>1.706384230656075E-3</v>
      </c>
      <c r="E24" s="357">
        <f t="shared" si="0"/>
        <v>1</v>
      </c>
      <c r="F24" s="372">
        <f t="shared" si="3"/>
        <v>3</v>
      </c>
    </row>
    <row r="25" spans="2:6" ht="18" thickBot="1" x14ac:dyDescent="0.35">
      <c r="B25" s="356" t="s">
        <v>719</v>
      </c>
      <c r="C25" s="354">
        <v>0.43</v>
      </c>
      <c r="D25" s="355">
        <f t="shared" si="2"/>
        <v>1.2650779641070903E-3</v>
      </c>
      <c r="E25" s="354">
        <f t="shared" si="0"/>
        <v>1</v>
      </c>
      <c r="F25" s="372">
        <f t="shared" si="3"/>
        <v>3</v>
      </c>
    </row>
    <row r="26" spans="2:6" ht="17.399999999999999" x14ac:dyDescent="0.3">
      <c r="B26" s="353"/>
      <c r="C26" s="352">
        <f>SUM(C7:C25)</f>
        <v>339.90000000000003</v>
      </c>
      <c r="D26" s="351">
        <f t="shared" si="2"/>
        <v>1</v>
      </c>
      <c r="E26" s="350">
        <f>SUM(E7:E25)</f>
        <v>105</v>
      </c>
      <c r="F26" s="350">
        <f>SUM(F7:F25)</f>
        <v>320</v>
      </c>
    </row>
    <row r="27" spans="2:6" ht="17.399999999999999" customHeight="1" x14ac:dyDescent="0.3">
      <c r="B27" s="393" t="s">
        <v>720</v>
      </c>
      <c r="C27" s="393"/>
      <c r="D27" s="393"/>
      <c r="E27" s="346">
        <v>25</v>
      </c>
      <c r="F27" s="346">
        <v>80</v>
      </c>
    </row>
    <row r="28" spans="2:6" ht="17.399999999999999" customHeight="1" x14ac:dyDescent="0.3">
      <c r="B28" s="393" t="s">
        <v>721</v>
      </c>
      <c r="C28" s="393"/>
      <c r="D28" s="393"/>
      <c r="E28" s="346">
        <v>130</v>
      </c>
      <c r="F28" s="346">
        <v>400</v>
      </c>
    </row>
    <row r="29" spans="2:6" ht="17.399999999999999" x14ac:dyDescent="0.3">
      <c r="B29" s="349"/>
      <c r="C29" s="348"/>
      <c r="D29" s="347"/>
      <c r="E29" s="346"/>
      <c r="F29" s="346"/>
    </row>
    <row r="30" spans="2:6" ht="17.399999999999999" x14ac:dyDescent="0.3">
      <c r="B30" s="349"/>
      <c r="C30" s="348"/>
      <c r="D30" s="347"/>
      <c r="E30" s="346"/>
      <c r="F30" s="346"/>
    </row>
    <row r="31" spans="2:6" ht="17.399999999999999" x14ac:dyDescent="0.3">
      <c r="B31" s="349"/>
      <c r="C31" s="348"/>
      <c r="D31" s="347"/>
      <c r="E31" s="346"/>
      <c r="F31" s="346"/>
    </row>
    <row r="32" spans="2:6" ht="17.399999999999999" x14ac:dyDescent="0.3">
      <c r="B32" s="349"/>
      <c r="C32" s="348"/>
      <c r="D32" s="347"/>
      <c r="E32" s="346"/>
      <c r="F32" s="346"/>
    </row>
    <row r="33" spans="2:3" x14ac:dyDescent="0.3">
      <c r="B33" s="345" t="s">
        <v>26</v>
      </c>
    </row>
    <row r="34" spans="2:3" x14ac:dyDescent="0.3">
      <c r="B34" t="s">
        <v>25</v>
      </c>
      <c r="C34" s="3" t="s">
        <v>23</v>
      </c>
    </row>
    <row r="35" spans="2:3" x14ac:dyDescent="0.3">
      <c r="B35" t="s">
        <v>27</v>
      </c>
      <c r="C35" s="3" t="s">
        <v>28</v>
      </c>
    </row>
  </sheetData>
  <mergeCells count="6">
    <mergeCell ref="B1:F1"/>
    <mergeCell ref="C3:C4"/>
    <mergeCell ref="D3:D4"/>
    <mergeCell ref="E3:F3"/>
    <mergeCell ref="B27:D27"/>
    <mergeCell ref="B28:D28"/>
  </mergeCells>
  <hyperlinks>
    <hyperlink ref="C35" r:id="rId1"/>
    <hyperlink ref="C34" r:id="rId2"/>
  </hyperlinks>
  <printOptions horizontalCentered="1" verticalCentered="1"/>
  <pageMargins left="0.74803149606299213" right="0.74803149606299213" top="0.98425196850393704" bottom="0.98425196850393704" header="0.51181102362204722" footer="0.51181102362204722"/>
  <pageSetup paperSize="9" scale="30"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30"/>
  <sheetViews>
    <sheetView showGridLines="0" topLeftCell="A5" zoomScale="80" zoomScaleNormal="80" zoomScalePageLayoutView="80" workbookViewId="0">
      <selection activeCell="B6" sqref="B6:B24"/>
    </sheetView>
  </sheetViews>
  <sheetFormatPr baseColWidth="10" defaultColWidth="11" defaultRowHeight="15.6" x14ac:dyDescent="0.3"/>
  <cols>
    <col min="1" max="1" width="4.69921875" customWidth="1"/>
    <col min="2" max="2" width="14.19921875" customWidth="1"/>
    <col min="3" max="7" width="15.69921875" customWidth="1"/>
  </cols>
  <sheetData>
    <row r="1" spans="1:8" ht="70.05" customHeight="1" x14ac:dyDescent="0.45">
      <c r="A1" s="377"/>
      <c r="B1" s="394" t="s">
        <v>695</v>
      </c>
      <c r="C1" s="394"/>
      <c r="D1" s="394"/>
      <c r="E1" s="394"/>
      <c r="F1" s="394"/>
      <c r="G1" s="394"/>
    </row>
    <row r="3" spans="1:8" ht="85.05" customHeight="1" x14ac:dyDescent="0.3">
      <c r="B3" s="370"/>
      <c r="C3" s="385" t="s">
        <v>680</v>
      </c>
      <c r="D3" s="395" t="s">
        <v>679</v>
      </c>
      <c r="E3" s="397"/>
      <c r="F3" s="397"/>
      <c r="G3" s="397"/>
    </row>
    <row r="4" spans="1:8" ht="92.4" x14ac:dyDescent="0.3">
      <c r="B4" s="368"/>
      <c r="C4" s="367" t="s">
        <v>678</v>
      </c>
      <c r="D4" s="375" t="s">
        <v>677</v>
      </c>
      <c r="E4" s="375" t="s">
        <v>676</v>
      </c>
      <c r="F4" s="375" t="s">
        <v>675</v>
      </c>
      <c r="G4" s="375" t="s">
        <v>674</v>
      </c>
    </row>
    <row r="5" spans="1:8" ht="17.399999999999999" x14ac:dyDescent="0.3">
      <c r="B5" s="366"/>
      <c r="C5" s="366"/>
      <c r="D5" s="366"/>
      <c r="E5" s="366"/>
      <c r="F5" s="366"/>
      <c r="G5" s="366"/>
    </row>
    <row r="6" spans="1:8" ht="17.55" customHeight="1" x14ac:dyDescent="0.3">
      <c r="B6" s="363" t="s">
        <v>704</v>
      </c>
      <c r="C6" s="361">
        <f>T1EN!E7</f>
        <v>24</v>
      </c>
      <c r="D6" s="361">
        <v>12</v>
      </c>
      <c r="E6" s="361">
        <v>10</v>
      </c>
      <c r="F6" s="361">
        <v>2</v>
      </c>
      <c r="G6" s="361">
        <v>0</v>
      </c>
    </row>
    <row r="7" spans="1:8" ht="17.55" customHeight="1" x14ac:dyDescent="0.3">
      <c r="B7" s="365" t="s">
        <v>8</v>
      </c>
      <c r="C7" s="364">
        <f>T1EN!E8</f>
        <v>20</v>
      </c>
      <c r="D7" s="364">
        <v>9</v>
      </c>
      <c r="E7" s="364">
        <v>11</v>
      </c>
      <c r="F7" s="364">
        <v>0</v>
      </c>
      <c r="G7" s="364">
        <v>0</v>
      </c>
    </row>
    <row r="8" spans="1:8" ht="17.55" customHeight="1" x14ac:dyDescent="0.3">
      <c r="B8" s="363" t="s">
        <v>705</v>
      </c>
      <c r="C8" s="361">
        <f>T1EN!E9</f>
        <v>18</v>
      </c>
      <c r="D8" s="361">
        <v>3</v>
      </c>
      <c r="E8" s="361">
        <v>12</v>
      </c>
      <c r="F8" s="361">
        <v>0</v>
      </c>
      <c r="G8" s="361">
        <v>3</v>
      </c>
    </row>
    <row r="9" spans="1:8" ht="17.399999999999999" x14ac:dyDescent="0.3">
      <c r="B9" s="363" t="s">
        <v>706</v>
      </c>
      <c r="C9" s="361">
        <f>T1EN!E10</f>
        <v>14.000000000000002</v>
      </c>
      <c r="D9" s="361">
        <v>7</v>
      </c>
      <c r="E9" s="361">
        <v>4</v>
      </c>
      <c r="F9" s="361">
        <v>3</v>
      </c>
      <c r="G9" s="361">
        <v>0</v>
      </c>
    </row>
    <row r="10" spans="1:8" ht="17.399999999999999" x14ac:dyDescent="0.3">
      <c r="B10" s="358" t="s">
        <v>707</v>
      </c>
      <c r="C10" s="357">
        <f>T1EN!E11</f>
        <v>5</v>
      </c>
      <c r="D10" s="357">
        <v>2</v>
      </c>
      <c r="E10" s="357">
        <v>2</v>
      </c>
      <c r="F10" s="357">
        <v>1</v>
      </c>
      <c r="G10" s="357">
        <v>0</v>
      </c>
    </row>
    <row r="11" spans="1:8" ht="17.399999999999999" x14ac:dyDescent="0.3">
      <c r="B11" s="360" t="s">
        <v>708</v>
      </c>
      <c r="C11" s="359">
        <f>T1EN!E12</f>
        <v>3</v>
      </c>
      <c r="D11" s="359">
        <v>2</v>
      </c>
      <c r="E11" s="359">
        <v>1</v>
      </c>
      <c r="F11" s="359">
        <v>0</v>
      </c>
      <c r="G11" s="359">
        <v>0</v>
      </c>
    </row>
    <row r="12" spans="1:8" ht="17.399999999999999" x14ac:dyDescent="0.3">
      <c r="B12" s="360" t="s">
        <v>709</v>
      </c>
      <c r="C12" s="359">
        <f>T1EN!E13</f>
        <v>3</v>
      </c>
      <c r="D12" s="359">
        <v>1</v>
      </c>
      <c r="E12" s="359">
        <v>0</v>
      </c>
      <c r="F12" s="359">
        <v>2</v>
      </c>
      <c r="G12" s="359">
        <v>0</v>
      </c>
    </row>
    <row r="13" spans="1:8" ht="17.399999999999999" x14ac:dyDescent="0.3">
      <c r="B13" s="360" t="s">
        <v>13</v>
      </c>
      <c r="C13" s="359">
        <f>T1EN!E14</f>
        <v>3</v>
      </c>
      <c r="D13" s="359">
        <v>1</v>
      </c>
      <c r="E13" s="359">
        <v>1</v>
      </c>
      <c r="F13" s="359">
        <v>1</v>
      </c>
      <c r="G13" s="359">
        <v>0</v>
      </c>
    </row>
    <row r="14" spans="1:8" ht="17.399999999999999" x14ac:dyDescent="0.3">
      <c r="B14" s="358" t="s">
        <v>710</v>
      </c>
      <c r="C14" s="357">
        <f>T1EN!E15</f>
        <v>3</v>
      </c>
      <c r="D14" s="357">
        <v>1</v>
      </c>
      <c r="E14" s="357">
        <v>1</v>
      </c>
      <c r="F14" s="357">
        <v>0</v>
      </c>
      <c r="G14" s="357">
        <v>1</v>
      </c>
      <c r="H14" s="383"/>
    </row>
    <row r="15" spans="1:8" ht="17.399999999999999" x14ac:dyDescent="0.3">
      <c r="B15" s="360" t="s">
        <v>711</v>
      </c>
      <c r="C15" s="359">
        <f>T1EN!E16</f>
        <v>2</v>
      </c>
      <c r="D15" s="359">
        <v>1</v>
      </c>
      <c r="E15" s="359">
        <v>0</v>
      </c>
      <c r="F15" s="359">
        <v>0</v>
      </c>
      <c r="G15" s="359">
        <v>1</v>
      </c>
    </row>
    <row r="16" spans="1:8" ht="17.399999999999999" x14ac:dyDescent="0.3">
      <c r="B16" s="358" t="s">
        <v>712</v>
      </c>
      <c r="C16" s="357">
        <f>T1EN!E17</f>
        <v>2</v>
      </c>
      <c r="D16" s="357">
        <v>1</v>
      </c>
      <c r="E16" s="357">
        <v>1</v>
      </c>
      <c r="F16" s="357">
        <v>0</v>
      </c>
      <c r="G16" s="357">
        <v>0</v>
      </c>
    </row>
    <row r="17" spans="1:7" ht="17.399999999999999" x14ac:dyDescent="0.3">
      <c r="B17" s="358" t="s">
        <v>713</v>
      </c>
      <c r="C17" s="357">
        <f>T1EN!E18</f>
        <v>1</v>
      </c>
      <c r="D17" s="357">
        <v>1</v>
      </c>
      <c r="E17" s="357">
        <v>0</v>
      </c>
      <c r="F17" s="357">
        <v>0</v>
      </c>
      <c r="G17" s="357">
        <v>0</v>
      </c>
    </row>
    <row r="18" spans="1:7" ht="17.399999999999999" x14ac:dyDescent="0.3">
      <c r="B18" s="360" t="s">
        <v>714</v>
      </c>
      <c r="C18" s="359">
        <f>T1EN!E19</f>
        <v>1</v>
      </c>
      <c r="D18" s="359">
        <v>0</v>
      </c>
      <c r="E18" s="359">
        <v>1</v>
      </c>
      <c r="F18" s="359">
        <v>0</v>
      </c>
      <c r="G18" s="359">
        <v>0</v>
      </c>
    </row>
    <row r="19" spans="1:7" ht="17.399999999999999" x14ac:dyDescent="0.3">
      <c r="B19" s="360" t="s">
        <v>715</v>
      </c>
      <c r="C19" s="359">
        <f>T1EN!E20</f>
        <v>1</v>
      </c>
      <c r="D19" s="359">
        <v>0</v>
      </c>
      <c r="E19" s="359">
        <v>1</v>
      </c>
      <c r="F19" s="359">
        <v>0</v>
      </c>
      <c r="G19" s="359">
        <v>0</v>
      </c>
    </row>
    <row r="20" spans="1:7" ht="17.399999999999999" x14ac:dyDescent="0.3">
      <c r="B20" s="358" t="s">
        <v>716</v>
      </c>
      <c r="C20" s="357">
        <f>T1EN!E21</f>
        <v>1</v>
      </c>
      <c r="D20" s="357">
        <v>0</v>
      </c>
      <c r="E20" s="357">
        <v>1</v>
      </c>
      <c r="F20" s="357">
        <v>0</v>
      </c>
      <c r="G20" s="357">
        <v>0</v>
      </c>
    </row>
    <row r="21" spans="1:7" ht="17.399999999999999" x14ac:dyDescent="0.3">
      <c r="B21" s="358" t="s">
        <v>717</v>
      </c>
      <c r="C21" s="357">
        <f>T1EN!E22</f>
        <v>1</v>
      </c>
      <c r="D21" s="357">
        <v>1</v>
      </c>
      <c r="E21" s="357">
        <v>0</v>
      </c>
      <c r="F21" s="357">
        <v>0</v>
      </c>
      <c r="G21" s="357">
        <v>0</v>
      </c>
    </row>
    <row r="22" spans="1:7" ht="17.399999999999999" x14ac:dyDescent="0.3">
      <c r="B22" s="358" t="s">
        <v>718</v>
      </c>
      <c r="C22" s="357">
        <f>T1EN!E23</f>
        <v>1</v>
      </c>
      <c r="D22" s="357">
        <v>1</v>
      </c>
      <c r="E22" s="357">
        <v>0</v>
      </c>
      <c r="F22" s="357">
        <v>0</v>
      </c>
      <c r="G22" s="357">
        <v>0</v>
      </c>
    </row>
    <row r="23" spans="1:7" ht="17.399999999999999" x14ac:dyDescent="0.3">
      <c r="B23" s="358" t="s">
        <v>11</v>
      </c>
      <c r="C23" s="357">
        <f>T1EN!E24</f>
        <v>1</v>
      </c>
      <c r="D23" s="357">
        <v>1</v>
      </c>
      <c r="E23" s="357">
        <v>0</v>
      </c>
      <c r="F23" s="357">
        <v>0</v>
      </c>
      <c r="G23" s="357">
        <v>0</v>
      </c>
    </row>
    <row r="24" spans="1:7" ht="18" thickBot="1" x14ac:dyDescent="0.35">
      <c r="B24" s="356" t="s">
        <v>719</v>
      </c>
      <c r="C24" s="354">
        <f>T1EN!E25</f>
        <v>1</v>
      </c>
      <c r="D24" s="354">
        <v>0</v>
      </c>
      <c r="E24" s="354">
        <v>1</v>
      </c>
      <c r="F24" s="354">
        <v>0</v>
      </c>
      <c r="G24" s="354">
        <v>0</v>
      </c>
    </row>
    <row r="25" spans="1:7" ht="17.399999999999999" x14ac:dyDescent="0.3">
      <c r="B25" s="353" t="s">
        <v>22</v>
      </c>
      <c r="C25" s="350">
        <f>SUM(C6:C24)</f>
        <v>105</v>
      </c>
      <c r="D25" s="350">
        <f>SUM(D6:D24)</f>
        <v>44</v>
      </c>
      <c r="E25" s="350">
        <f>SUM(E6:E24)</f>
        <v>47</v>
      </c>
      <c r="F25" s="350">
        <f>SUM(F6:F24)</f>
        <v>9</v>
      </c>
      <c r="G25" s="350">
        <f>SUM(G6:G24)</f>
        <v>5</v>
      </c>
    </row>
    <row r="26" spans="1:7" x14ac:dyDescent="0.3">
      <c r="B26" s="345"/>
    </row>
    <row r="27" spans="1:7" x14ac:dyDescent="0.3">
      <c r="A27" s="398" t="s">
        <v>698</v>
      </c>
      <c r="B27" s="398"/>
      <c r="C27" s="398"/>
      <c r="D27" s="398"/>
      <c r="E27" s="398"/>
      <c r="F27" s="398"/>
      <c r="G27" s="398"/>
    </row>
    <row r="28" spans="1:7" x14ac:dyDescent="0.3">
      <c r="A28" s="398"/>
      <c r="B28" s="398"/>
      <c r="C28" s="398"/>
      <c r="D28" s="398"/>
      <c r="E28" s="398"/>
      <c r="F28" s="398"/>
      <c r="G28" s="398"/>
    </row>
    <row r="29" spans="1:7" x14ac:dyDescent="0.3">
      <c r="A29" s="398"/>
      <c r="B29" s="398"/>
      <c r="C29" s="398"/>
      <c r="D29" s="398"/>
      <c r="E29" s="398"/>
      <c r="F29" s="398"/>
      <c r="G29" s="398"/>
    </row>
    <row r="30" spans="1:7" x14ac:dyDescent="0.3">
      <c r="A30" s="398"/>
      <c r="B30" s="398"/>
      <c r="C30" s="398"/>
      <c r="D30" s="398"/>
      <c r="E30" s="398"/>
      <c r="F30" s="398"/>
      <c r="G30" s="398"/>
    </row>
  </sheetData>
  <mergeCells count="3">
    <mergeCell ref="B1:G1"/>
    <mergeCell ref="D3:G3"/>
    <mergeCell ref="A27:G30"/>
  </mergeCells>
  <printOptions horizontalCentered="1" verticalCentered="1"/>
  <pageMargins left="0.74803149606299213" right="0.74803149606299213" top="0.98425196850393704" bottom="0.98425196850393704" header="0.51181102362204722" footer="0.51181102362204722"/>
  <pageSetup paperSize="9" scale="3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31"/>
  <sheetViews>
    <sheetView showGridLines="0" zoomScale="80" zoomScaleNormal="80" zoomScalePageLayoutView="80" workbookViewId="0">
      <selection activeCell="B6" sqref="B6:B24"/>
    </sheetView>
  </sheetViews>
  <sheetFormatPr baseColWidth="10" defaultColWidth="11" defaultRowHeight="15.6" x14ac:dyDescent="0.3"/>
  <cols>
    <col min="1" max="1" width="4.69921875" customWidth="1"/>
    <col min="2" max="2" width="27.69921875" customWidth="1"/>
    <col min="3" max="4" width="16.5" customWidth="1"/>
    <col min="5" max="5" width="20.796875" customWidth="1"/>
    <col min="6" max="6" width="16.5" customWidth="1"/>
  </cols>
  <sheetData>
    <row r="1" spans="1:8" ht="55.05" customHeight="1" x14ac:dyDescent="0.45">
      <c r="A1" s="371"/>
      <c r="B1" s="394" t="s">
        <v>696</v>
      </c>
      <c r="C1" s="394"/>
      <c r="D1" s="394"/>
      <c r="E1" s="394"/>
      <c r="F1" s="394"/>
    </row>
    <row r="3" spans="1:8" ht="34.799999999999997" x14ac:dyDescent="0.3">
      <c r="B3" s="370"/>
      <c r="C3" s="385" t="s">
        <v>671</v>
      </c>
      <c r="D3" s="385" t="s">
        <v>670</v>
      </c>
      <c r="E3" s="385" t="s">
        <v>687</v>
      </c>
      <c r="F3" s="385" t="s">
        <v>686</v>
      </c>
    </row>
    <row r="4" spans="1:8" ht="52.8" x14ac:dyDescent="0.3">
      <c r="B4" s="368"/>
      <c r="C4" s="367" t="s">
        <v>685</v>
      </c>
      <c r="D4" s="367"/>
      <c r="E4" s="367" t="s">
        <v>684</v>
      </c>
      <c r="F4" s="367"/>
    </row>
    <row r="5" spans="1:8" ht="17.399999999999999" x14ac:dyDescent="0.3">
      <c r="B5" s="366"/>
      <c r="C5" s="366"/>
      <c r="D5" s="366"/>
      <c r="E5" s="366"/>
      <c r="F5" s="366"/>
    </row>
    <row r="6" spans="1:8" ht="17.55" customHeight="1" x14ac:dyDescent="0.3">
      <c r="B6" s="363" t="s">
        <v>704</v>
      </c>
      <c r="C6" s="361">
        <v>82.18</v>
      </c>
      <c r="D6" s="362">
        <f>C6/C$25</f>
        <v>0.2417769932333039</v>
      </c>
      <c r="E6" s="381">
        <v>2791.1089000000002</v>
      </c>
      <c r="F6" s="362">
        <f t="shared" ref="F6:F28" si="0">E6/E$25</f>
        <v>0.28227480668924942</v>
      </c>
    </row>
    <row r="7" spans="1:8" ht="17.55" customHeight="1" x14ac:dyDescent="0.3">
      <c r="B7" s="365" t="s">
        <v>8</v>
      </c>
      <c r="C7" s="364">
        <v>66.760000000000005</v>
      </c>
      <c r="D7" s="362">
        <f t="shared" ref="D7:D28" si="1">C7/$C$25</f>
        <v>0.19641070903206825</v>
      </c>
      <c r="E7" s="382">
        <v>2094.982</v>
      </c>
      <c r="F7" s="362">
        <f t="shared" si="0"/>
        <v>0.21187300827547684</v>
      </c>
    </row>
    <row r="8" spans="1:8" ht="17.55" customHeight="1" x14ac:dyDescent="0.3">
      <c r="B8" s="363" t="s">
        <v>705</v>
      </c>
      <c r="C8" s="361">
        <v>60.67</v>
      </c>
      <c r="D8" s="362">
        <f t="shared" si="1"/>
        <v>0.17849367461017945</v>
      </c>
      <c r="E8" s="381">
        <v>1553.8758</v>
      </c>
      <c r="F8" s="362">
        <f t="shared" si="0"/>
        <v>0.15714900664180562</v>
      </c>
    </row>
    <row r="9" spans="1:8" ht="17.399999999999999" x14ac:dyDescent="0.3">
      <c r="B9" s="363" t="s">
        <v>706</v>
      </c>
      <c r="C9" s="361">
        <v>46.45</v>
      </c>
      <c r="D9" s="362">
        <f t="shared" si="1"/>
        <v>0.13665784054133567</v>
      </c>
      <c r="E9" s="381">
        <v>1068.2829999999999</v>
      </c>
      <c r="F9" s="362">
        <f t="shared" si="0"/>
        <v>0.10803927332051121</v>
      </c>
    </row>
    <row r="10" spans="1:8" ht="17.399999999999999" x14ac:dyDescent="0.3">
      <c r="B10" s="358" t="s">
        <v>707</v>
      </c>
      <c r="C10" s="357">
        <v>16.98</v>
      </c>
      <c r="D10" s="355">
        <f t="shared" si="1"/>
        <v>4.9955869373345098E-2</v>
      </c>
      <c r="E10" s="379">
        <v>655.57370000000003</v>
      </c>
      <c r="F10" s="355">
        <f t="shared" si="0"/>
        <v>6.6300508531951574E-2</v>
      </c>
    </row>
    <row r="11" spans="1:8" ht="17.399999999999999" x14ac:dyDescent="0.3">
      <c r="B11" s="360" t="s">
        <v>708</v>
      </c>
      <c r="C11" s="359">
        <v>11.31</v>
      </c>
      <c r="D11" s="355">
        <f t="shared" si="1"/>
        <v>3.3274492497793469E-2</v>
      </c>
      <c r="E11" s="380">
        <v>383.74009999999998</v>
      </c>
      <c r="F11" s="355">
        <f t="shared" si="0"/>
        <v>3.880900617901839E-2</v>
      </c>
    </row>
    <row r="12" spans="1:8" ht="17.399999999999999" x14ac:dyDescent="0.3">
      <c r="B12" s="360" t="s">
        <v>709</v>
      </c>
      <c r="C12" s="359">
        <v>10.78</v>
      </c>
      <c r="D12" s="355">
        <f t="shared" si="1"/>
        <v>3.1715210355987053E-2</v>
      </c>
      <c r="E12" s="380">
        <v>184.46809999999999</v>
      </c>
      <c r="F12" s="355">
        <f t="shared" si="0"/>
        <v>1.8655917462709219E-2</v>
      </c>
    </row>
    <row r="13" spans="1:8" ht="17.399999999999999" x14ac:dyDescent="0.3">
      <c r="B13" s="360" t="s">
        <v>13</v>
      </c>
      <c r="C13" s="359">
        <v>10.34</v>
      </c>
      <c r="D13" s="355">
        <f t="shared" si="1"/>
        <v>3.0420711974110028E-2</v>
      </c>
      <c r="E13" s="380">
        <v>171.8064</v>
      </c>
      <c r="F13" s="355">
        <f t="shared" si="0"/>
        <v>1.7375394542282409E-2</v>
      </c>
    </row>
    <row r="14" spans="1:8" ht="17.399999999999999" x14ac:dyDescent="0.3">
      <c r="B14" s="358" t="s">
        <v>710</v>
      </c>
      <c r="C14" s="357">
        <v>8.69</v>
      </c>
      <c r="D14" s="355">
        <f t="shared" si="1"/>
        <v>2.5566343042071192E-2</v>
      </c>
      <c r="E14" s="379">
        <v>310.47039999999998</v>
      </c>
      <c r="F14" s="355">
        <f t="shared" si="0"/>
        <v>3.1398979861636332E-2</v>
      </c>
      <c r="H14" s="383"/>
    </row>
    <row r="15" spans="1:8" ht="17.399999999999999" x14ac:dyDescent="0.3">
      <c r="B15" s="360" t="s">
        <v>711</v>
      </c>
      <c r="C15" s="359">
        <v>5.49</v>
      </c>
      <c r="D15" s="355">
        <f t="shared" si="1"/>
        <v>1.615180935569285E-2</v>
      </c>
      <c r="E15" s="380">
        <v>187.054</v>
      </c>
      <c r="F15" s="355">
        <f t="shared" si="0"/>
        <v>1.8917438760791761E-2</v>
      </c>
    </row>
    <row r="16" spans="1:8" ht="17.399999999999999" x14ac:dyDescent="0.3">
      <c r="B16" s="358" t="s">
        <v>712</v>
      </c>
      <c r="C16" s="357">
        <v>5.43</v>
      </c>
      <c r="D16" s="355">
        <f t="shared" si="1"/>
        <v>1.5975286849073254E-2</v>
      </c>
      <c r="E16" s="379">
        <v>76.346599999999995</v>
      </c>
      <c r="F16" s="355">
        <f t="shared" si="0"/>
        <v>7.7212041982243854E-3</v>
      </c>
    </row>
    <row r="17" spans="2:6" ht="17.399999999999999" customHeight="1" x14ac:dyDescent="0.3">
      <c r="B17" s="358" t="s">
        <v>713</v>
      </c>
      <c r="C17" s="357">
        <v>4.72</v>
      </c>
      <c r="D17" s="355">
        <f t="shared" si="1"/>
        <v>1.3886437187408059E-2</v>
      </c>
      <c r="E17" s="379">
        <v>228.76689999999999</v>
      </c>
      <c r="F17" s="355">
        <f t="shared" si="0"/>
        <v>2.3136013243481416E-2</v>
      </c>
    </row>
    <row r="18" spans="2:6" ht="17.399999999999999" x14ac:dyDescent="0.3">
      <c r="B18" s="360" t="s">
        <v>714</v>
      </c>
      <c r="C18" s="359">
        <v>2.89</v>
      </c>
      <c r="D18" s="355">
        <f t="shared" si="1"/>
        <v>8.5025007355104439E-3</v>
      </c>
      <c r="E18" s="380">
        <v>33.649799999999999</v>
      </c>
      <c r="F18" s="355">
        <f t="shared" si="0"/>
        <v>3.4031243962325884E-3</v>
      </c>
    </row>
    <row r="19" spans="2:6" ht="17.399999999999999" x14ac:dyDescent="0.3">
      <c r="B19" s="360" t="s">
        <v>715</v>
      </c>
      <c r="C19" s="359">
        <v>2.06</v>
      </c>
      <c r="D19" s="355">
        <f t="shared" si="1"/>
        <v>6.0606060606060597E-3</v>
      </c>
      <c r="E19" s="380">
        <v>37.050400000000003</v>
      </c>
      <c r="F19" s="355">
        <f t="shared" si="0"/>
        <v>3.7470392136112521E-3</v>
      </c>
    </row>
    <row r="20" spans="2:6" ht="17.399999999999999" x14ac:dyDescent="0.3">
      <c r="B20" s="358" t="s">
        <v>716</v>
      </c>
      <c r="C20" s="357">
        <v>1.97</v>
      </c>
      <c r="D20" s="355">
        <f t="shared" si="1"/>
        <v>5.7958223006766693E-3</v>
      </c>
      <c r="E20" s="379">
        <v>21.208400000000001</v>
      </c>
      <c r="F20" s="355">
        <f t="shared" si="0"/>
        <v>2.1448812012273247E-3</v>
      </c>
    </row>
    <row r="21" spans="2:6" ht="17.399999999999999" x14ac:dyDescent="0.3">
      <c r="B21" s="358" t="s">
        <v>717</v>
      </c>
      <c r="C21" s="357">
        <v>1.32</v>
      </c>
      <c r="D21" s="355">
        <f t="shared" si="1"/>
        <v>3.8834951456310678E-3</v>
      </c>
      <c r="E21" s="379">
        <v>17.472000000000001</v>
      </c>
      <c r="F21" s="355">
        <f t="shared" si="0"/>
        <v>1.767005731118039E-3</v>
      </c>
    </row>
    <row r="22" spans="2:6" ht="17.399999999999999" x14ac:dyDescent="0.3">
      <c r="B22" s="358" t="s">
        <v>718</v>
      </c>
      <c r="C22" s="357">
        <v>0.85</v>
      </c>
      <c r="D22" s="355">
        <f t="shared" si="1"/>
        <v>2.5007355104442481E-3</v>
      </c>
      <c r="E22" s="379">
        <v>17.6555</v>
      </c>
      <c r="F22" s="355">
        <f t="shared" si="0"/>
        <v>1.7855637411718485E-3</v>
      </c>
    </row>
    <row r="23" spans="2:6" ht="17.399999999999999" x14ac:dyDescent="0.3">
      <c r="B23" s="358" t="s">
        <v>11</v>
      </c>
      <c r="C23" s="357">
        <v>0.57999999999999996</v>
      </c>
      <c r="D23" s="355">
        <f t="shared" si="1"/>
        <v>1.706384230656075E-3</v>
      </c>
      <c r="E23" s="379">
        <v>46.030900000000003</v>
      </c>
      <c r="F23" s="355">
        <f t="shared" si="0"/>
        <v>4.6552692369803885E-3</v>
      </c>
    </row>
    <row r="24" spans="2:6" ht="18" thickBot="1" x14ac:dyDescent="0.35">
      <c r="B24" s="356" t="s">
        <v>719</v>
      </c>
      <c r="C24" s="354">
        <v>0.43</v>
      </c>
      <c r="D24" s="355">
        <f t="shared" si="1"/>
        <v>1.2650779641070903E-3</v>
      </c>
      <c r="E24" s="378">
        <v>8.3706999999999994</v>
      </c>
      <c r="F24" s="355">
        <f t="shared" si="0"/>
        <v>8.4655877252001873E-4</v>
      </c>
    </row>
    <row r="25" spans="2:6" ht="17.399999999999999" x14ac:dyDescent="0.3">
      <c r="B25" s="353" t="s">
        <v>22</v>
      </c>
      <c r="C25" s="352">
        <f>SUM(C6:C24)</f>
        <v>339.90000000000003</v>
      </c>
      <c r="D25" s="351">
        <f t="shared" si="1"/>
        <v>1</v>
      </c>
      <c r="E25" s="350">
        <f>SUM(E6:E24)</f>
        <v>9887.9135999999999</v>
      </c>
      <c r="F25" s="351">
        <f t="shared" si="0"/>
        <v>1</v>
      </c>
    </row>
    <row r="26" spans="2:6" ht="18" customHeight="1" x14ac:dyDescent="0.3">
      <c r="B26" s="349" t="s">
        <v>683</v>
      </c>
      <c r="C26" s="348">
        <f>C6</f>
        <v>82.18</v>
      </c>
      <c r="D26" s="347">
        <f t="shared" si="1"/>
        <v>0.2417769932333039</v>
      </c>
      <c r="E26" s="346">
        <f>E6</f>
        <v>2791.1089000000002</v>
      </c>
      <c r="F26" s="347">
        <f t="shared" si="0"/>
        <v>0.28227480668924942</v>
      </c>
    </row>
    <row r="27" spans="2:6" ht="18" customHeight="1" x14ac:dyDescent="0.3">
      <c r="B27" s="349" t="s">
        <v>682</v>
      </c>
      <c r="C27" s="348">
        <f>C7+C8+C9</f>
        <v>173.88</v>
      </c>
      <c r="D27" s="347">
        <f t="shared" si="1"/>
        <v>0.51156222418358333</v>
      </c>
      <c r="E27" s="346">
        <f>E7+E8+E9</f>
        <v>4717.1407999999992</v>
      </c>
      <c r="F27" s="347">
        <f t="shared" si="0"/>
        <v>0.47706128823779359</v>
      </c>
    </row>
    <row r="28" spans="2:6" ht="18" customHeight="1" x14ac:dyDescent="0.3">
      <c r="B28" s="349" t="s">
        <v>681</v>
      </c>
      <c r="C28" s="348">
        <f>C25-C26-C27</f>
        <v>83.840000000000032</v>
      </c>
      <c r="D28" s="347">
        <f t="shared" si="1"/>
        <v>0.24666078258311275</v>
      </c>
      <c r="E28" s="346">
        <f>E25-E26-E27</f>
        <v>2379.6639000000005</v>
      </c>
      <c r="F28" s="347">
        <f t="shared" si="0"/>
        <v>0.24066390507295699</v>
      </c>
    </row>
    <row r="29" spans="2:6" x14ac:dyDescent="0.3">
      <c r="B29" s="345" t="s">
        <v>26</v>
      </c>
    </row>
    <row r="30" spans="2:6" x14ac:dyDescent="0.3">
      <c r="B30" t="s">
        <v>25</v>
      </c>
      <c r="C30" s="3" t="s">
        <v>23</v>
      </c>
    </row>
    <row r="31" spans="2:6" x14ac:dyDescent="0.3">
      <c r="B31" t="s">
        <v>27</v>
      </c>
      <c r="C31" s="3" t="s">
        <v>28</v>
      </c>
      <c r="F31" t="s">
        <v>29</v>
      </c>
    </row>
  </sheetData>
  <mergeCells count="1">
    <mergeCell ref="B1:F1"/>
  </mergeCells>
  <hyperlinks>
    <hyperlink ref="C30" r:id="rId1"/>
    <hyperlink ref="C31" r:id="rId2"/>
  </hyperlinks>
  <printOptions horizontalCentered="1" verticalCentered="1"/>
  <pageMargins left="0.74803149606299213" right="0.74803149606299213" top="0.98425196850393704" bottom="0.98425196850393704" header="0.51181102362204722" footer="0.51181102362204722"/>
  <pageSetup paperSize="9" scale="3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Sommaire</vt:lpstr>
      <vt:lpstr>T0</vt:lpstr>
      <vt:lpstr>T1</vt:lpstr>
      <vt:lpstr>T2</vt:lpstr>
      <vt:lpstr>T3</vt:lpstr>
      <vt:lpstr>T0EN</vt:lpstr>
      <vt:lpstr>T1EN</vt:lpstr>
      <vt:lpstr>T2EN</vt:lpstr>
      <vt:lpstr>T3EN</vt:lpstr>
      <vt:lpstr>Infos zone€</vt:lpstr>
      <vt:lpstr>Parlement Européen</vt:lpstr>
      <vt:lpstr>Parlements nationaux</vt:lpstr>
      <vt:lpstr>a)Plus forte moyenne</vt:lpstr>
      <vt:lpstr>b)Plus fort reste</vt:lpstr>
      <vt:lpstr>c)Plus forte moyenne</vt:lpstr>
      <vt:lpstr>d) Plus fort reste</vt:lpstr>
      <vt:lpstr>Résumé des sièges</vt:lpstr>
      <vt:lpstr>Récap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Manon Bouju</dc:creator>
  <cp:lastModifiedBy>Thomas Piketty</cp:lastModifiedBy>
  <cp:lastPrinted>2017-03-16T09:46:52Z</cp:lastPrinted>
  <dcterms:created xsi:type="dcterms:W3CDTF">2017-02-22T10:41:53Z</dcterms:created>
  <dcterms:modified xsi:type="dcterms:W3CDTF">2017-03-16T11:27:51Z</dcterms:modified>
</cp:coreProperties>
</file>